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4" sheetId="1" r:id="rId1"/>
  </sheets>
  <definedNames>
    <definedName name="_Regression_Int" localSheetId="0" hidden="1">1</definedName>
    <definedName name="A_IMPRESIÓN_IM">'CUAD0704'!$A$60:$M$114</definedName>
    <definedName name="_xlnm.Print_Area" localSheetId="0">'CUAD0704'!$A$1:$M$116</definedName>
    <definedName name="Imprimir_área_IM" localSheetId="0">'CUAD0704'!$A$1:$M$114</definedName>
    <definedName name="P">'CUAD0704'!#REF!</definedName>
  </definedNames>
  <calcPr fullCalcOnLoad="1"/>
</workbook>
</file>

<file path=xl/sharedStrings.xml><?xml version="1.0" encoding="utf-8"?>
<sst xmlns="http://schemas.openxmlformats.org/spreadsheetml/2006/main" count="178" uniqueCount="79">
  <si>
    <t xml:space="preserve">                                                                                                                                        </t>
  </si>
  <si>
    <t xml:space="preserve">       AGENCIAS </t>
  </si>
  <si>
    <t>HOSPEDAJE</t>
  </si>
  <si>
    <t>AEROVIAS</t>
  </si>
  <si>
    <t>MEXICANA</t>
  </si>
  <si>
    <t>AEROMAR</t>
  </si>
  <si>
    <t>AVIACSA</t>
  </si>
  <si>
    <t>T O T A L</t>
  </si>
  <si>
    <t>AGENCIAS D.F.</t>
  </si>
  <si>
    <t>VERTIZ</t>
  </si>
  <si>
    <t>AGENCIAS FORANEAS</t>
  </si>
  <si>
    <t>AGENCIAS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</si>
  <si>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</si>
  <si>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</si>
  <si>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</si>
  <si>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</si>
  <si>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</si>
  <si>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</si>
  <si>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</si>
  <si>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</si>
  <si>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</si>
  <si>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</si>
  <si>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</si>
  <si>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</si>
  <si>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</si>
  <si>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DURANG0,DGO.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</si>
  <si>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</si>
  <si>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</si>
  <si>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</si>
  <si>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</si>
  <si>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</si>
  <si>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</si>
  <si>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</si>
  <si>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</si>
  <si>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</si>
  <si>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</si>
  <si>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</si>
  <si>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</si>
  <si>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</si>
  <si>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</t>
  </si>
  <si>
    <t xml:space="preserve"> CULIACAN, SIN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</si>
  <si>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</si>
  <si>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</si>
  <si>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</si>
  <si>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</si>
  <si>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</si>
  <si>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 xml:space="preserve"> 7. 4  REPORTE NACIONAL DE VENTAS EN TURISSSTE ( MILES )</t>
  </si>
  <si>
    <t>( PRIMERA PARTE )</t>
  </si>
  <si>
    <t>( SEGUNDA PARTE )</t>
  </si>
  <si>
    <t>AEROLINEAS</t>
  </si>
  <si>
    <t xml:space="preserve"> </t>
  </si>
  <si>
    <t>C. JUDICATURA</t>
  </si>
  <si>
    <t xml:space="preserve"> JALAPA, VER.</t>
  </si>
  <si>
    <t xml:space="preserve"> REFORMA</t>
  </si>
  <si>
    <t>TOTAL</t>
  </si>
  <si>
    <t>B.S.P.</t>
  </si>
  <si>
    <t>A.F.I.</t>
  </si>
  <si>
    <t>NO</t>
  </si>
  <si>
    <t>PROPIOS</t>
  </si>
  <si>
    <t>EXCUR-</t>
  </si>
  <si>
    <t>SIONES</t>
  </si>
  <si>
    <t>AEROPACIFICO</t>
  </si>
  <si>
    <t>SERVICIOS INTERNACIONALES</t>
  </si>
  <si>
    <t>PAQUETES</t>
  </si>
  <si>
    <t xml:space="preserve"> T  R  A  N  S  P  O  R  T  A  C  I  O   N            A  E  R  E  A         </t>
  </si>
  <si>
    <t>E32</t>
  </si>
  <si>
    <t>ESTADISTICO</t>
  </si>
  <si>
    <t>DIFERENCIA</t>
  </si>
  <si>
    <t>PRIMERA PARTE</t>
  </si>
  <si>
    <t>SEGUNDA PARTE</t>
  </si>
  <si>
    <t>VILLACOAPA</t>
  </si>
  <si>
    <t>VENTAS 2009</t>
  </si>
  <si>
    <t>INTERJET</t>
  </si>
  <si>
    <t>VOLARIS</t>
  </si>
  <si>
    <t>BALNEARIOS Y/O PARQUES RECREATIVOS</t>
  </si>
  <si>
    <t>GRUPOS ESPECIALES</t>
  </si>
  <si>
    <t>TRANSPORTE TERRESTRE</t>
  </si>
  <si>
    <t xml:space="preserve">INTERNACIONALES </t>
  </si>
  <si>
    <t>ANUARIO ESTADISTICO 2009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</si>
</sst>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0.0"/>
    <numFmt numFmtId="168" formatCode="#,##0.0"/>
    <numFmt numFmtId="169" formatCode="[$-80A]dddd\,\ dd&quot; de &quot;mmmm&quot; de &quot;yyyy"/>
    <numFmt numFmtId="170" formatCode="[$-80A]hh:mm:ss\ AM/PM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2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6" fontId="1" fillId="0" borderId="11" xfId="0" applyNumberFormat="1" applyFont="1" applyBorder="1" applyAlignment="1" applyProtection="1">
      <alignment horizontal="left"/>
      <protection/>
    </xf>
    <xf numFmtId="164" fontId="3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1" fillId="0" borderId="10" xfId="0" applyFont="1" applyBorder="1" applyAlignment="1">
      <alignment horizontal="right"/>
    </xf>
    <xf numFmtId="168" fontId="2" fillId="0" borderId="0" xfId="0" applyNumberFormat="1" applyFont="1" applyAlignment="1" applyProtection="1">
      <alignment horizontal="right"/>
      <protection/>
    </xf>
    <xf numFmtId="168" fontId="1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right"/>
      <protection/>
    </xf>
    <xf numFmtId="168" fontId="0" fillId="0" borderId="12" xfId="0" applyNumberForma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2" xfId="0" applyBorder="1" applyAlignment="1">
      <alignment/>
    </xf>
    <xf numFmtId="168" fontId="4" fillId="0" borderId="12" xfId="0" applyNumberFormat="1" applyFont="1" applyBorder="1" applyAlignment="1">
      <alignment/>
    </xf>
    <xf numFmtId="164" fontId="4" fillId="0" borderId="12" xfId="0" applyFont="1" applyBorder="1" applyAlignment="1">
      <alignment/>
    </xf>
    <xf numFmtId="168" fontId="0" fillId="0" borderId="12" xfId="0" applyNumberFormat="1" applyBorder="1" applyAlignment="1">
      <alignment/>
    </xf>
    <xf numFmtId="164" fontId="1" fillId="24" borderId="0" xfId="0" applyFont="1" applyFill="1" applyBorder="1" applyAlignment="1">
      <alignment horizontal="center"/>
    </xf>
    <xf numFmtId="164" fontId="1" fillId="24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right"/>
    </xf>
    <xf numFmtId="164" fontId="1" fillId="24" borderId="0" xfId="0" applyNumberFormat="1" applyFont="1" applyFill="1" applyBorder="1" applyAlignment="1" applyProtection="1">
      <alignment horizontal="left"/>
      <protection/>
    </xf>
    <xf numFmtId="168" fontId="0" fillId="0" borderId="0" xfId="0" applyNumberFormat="1" applyFont="1" applyFill="1" applyAlignment="1">
      <alignment/>
    </xf>
    <xf numFmtId="168" fontId="0" fillId="0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 applyProtection="1">
      <alignment horizontal="right"/>
      <protection/>
    </xf>
    <xf numFmtId="168" fontId="2" fillId="0" borderId="12" xfId="0" applyNumberFormat="1" applyFont="1" applyBorder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left"/>
      <protection/>
    </xf>
    <xf numFmtId="4" fontId="0" fillId="0" borderId="12" xfId="0" applyNumberFormat="1" applyBorder="1" applyAlignment="1">
      <alignment/>
    </xf>
    <xf numFmtId="168" fontId="0" fillId="4" borderId="12" xfId="0" applyNumberFormat="1" applyFill="1" applyBorder="1" applyAlignment="1">
      <alignment/>
    </xf>
    <xf numFmtId="168" fontId="4" fillId="0" borderId="12" xfId="0" applyNumberFormat="1" applyFont="1" applyBorder="1" applyAlignment="1">
      <alignment/>
    </xf>
    <xf numFmtId="168" fontId="2" fillId="0" borderId="13" xfId="0" applyNumberFormat="1" applyFont="1" applyBorder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 horizontal="right" indent="1"/>
      <protection/>
    </xf>
    <xf numFmtId="168" fontId="1" fillId="0" borderId="0" xfId="0" applyNumberFormat="1" applyFont="1" applyFill="1" applyAlignment="1" applyProtection="1">
      <alignment horizontal="right" indent="1"/>
      <protection/>
    </xf>
    <xf numFmtId="166" fontId="1" fillId="0" borderId="0" xfId="0" applyNumberFormat="1" applyFont="1" applyFill="1" applyAlignment="1" applyProtection="1">
      <alignment horizontal="right" indent="1"/>
      <protection/>
    </xf>
    <xf numFmtId="168" fontId="1" fillId="0" borderId="0" xfId="0" applyNumberFormat="1" applyFont="1" applyFill="1" applyBorder="1" applyAlignment="1">
      <alignment horizontal="right" indent="1"/>
    </xf>
    <xf numFmtId="4" fontId="0" fillId="0" borderId="0" xfId="0" applyNumberFormat="1" applyFont="1" applyFill="1" applyBorder="1" applyAlignment="1">
      <alignment horizontal="right" indent="1"/>
    </xf>
    <xf numFmtId="4" fontId="1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 applyProtection="1">
      <alignment horizontal="right" indent="1"/>
      <protection/>
    </xf>
    <xf numFmtId="166" fontId="2" fillId="0" borderId="0" xfId="0" applyNumberFormat="1" applyFont="1" applyFill="1" applyAlignment="1" applyProtection="1">
      <alignment horizontal="right" indent="1"/>
      <protection/>
    </xf>
    <xf numFmtId="168" fontId="1" fillId="0" borderId="11" xfId="0" applyNumberFormat="1" applyFont="1" applyFill="1" applyBorder="1" applyAlignment="1" applyProtection="1">
      <alignment horizontal="right" indent="1"/>
      <protection/>
    </xf>
    <xf numFmtId="166" fontId="1" fillId="0" borderId="0" xfId="0" applyNumberFormat="1" applyFont="1" applyAlignment="1" applyProtection="1">
      <alignment horizontal="right" indent="1"/>
      <protection/>
    </xf>
    <xf numFmtId="164" fontId="1" fillId="0" borderId="0" xfId="0" applyFont="1" applyAlignment="1">
      <alignment horizontal="right" indent="1"/>
    </xf>
    <xf numFmtId="168" fontId="1" fillId="0" borderId="0" xfId="0" applyNumberFormat="1" applyFont="1" applyFill="1" applyBorder="1" applyAlignment="1" applyProtection="1">
      <alignment horizontal="right" indent="1"/>
      <protection/>
    </xf>
    <xf numFmtId="166" fontId="1" fillId="0" borderId="0" xfId="0" applyNumberFormat="1" applyFont="1" applyBorder="1" applyAlignment="1" applyProtection="1">
      <alignment horizontal="right" indent="1"/>
      <protection/>
    </xf>
    <xf numFmtId="168" fontId="1" fillId="0" borderId="0" xfId="0" applyNumberFormat="1" applyFont="1" applyBorder="1" applyAlignment="1">
      <alignment horizontal="right" indent="1"/>
    </xf>
    <xf numFmtId="168" fontId="1" fillId="0" borderId="0" xfId="0" applyNumberFormat="1" applyFont="1" applyBorder="1" applyAlignment="1" applyProtection="1">
      <alignment horizontal="right" indent="1"/>
      <protection/>
    </xf>
    <xf numFmtId="166" fontId="1" fillId="0" borderId="11" xfId="0" applyNumberFormat="1" applyFont="1" applyBorder="1" applyAlignment="1" applyProtection="1">
      <alignment horizontal="right" indent="1"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0" fillId="0" borderId="15" xfId="0" applyFont="1" applyFill="1" applyBorder="1" applyAlignment="1">
      <alignment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5" xfId="0" applyFont="1" applyFill="1" applyBorder="1" applyAlignment="1">
      <alignment horizontal="center"/>
    </xf>
    <xf numFmtId="164" fontId="1" fillId="0" borderId="18" xfId="0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1" fillId="0" borderId="19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left"/>
      <protection/>
    </xf>
    <xf numFmtId="164" fontId="1" fillId="0" borderId="10" xfId="0" applyFont="1" applyFill="1" applyBorder="1" applyAlignment="1">
      <alignment horizontal="right"/>
    </xf>
    <xf numFmtId="166" fontId="1" fillId="0" borderId="17" xfId="0" applyNumberFormat="1" applyFont="1" applyFill="1" applyBorder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center"/>
      <protection/>
    </xf>
    <xf numFmtId="166" fontId="1" fillId="0" borderId="20" xfId="0" applyNumberFormat="1" applyFont="1" applyFill="1" applyBorder="1" applyAlignment="1" applyProtection="1">
      <alignment horizontal="center"/>
      <protection/>
    </xf>
    <xf numFmtId="166" fontId="1" fillId="0" borderId="18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left"/>
      <protection/>
    </xf>
    <xf numFmtId="164" fontId="1" fillId="0" borderId="15" xfId="0" applyNumberFormat="1" applyFont="1" applyFill="1" applyBorder="1" applyAlignment="1" applyProtection="1">
      <alignment horizontal="center" wrapText="1"/>
      <protection/>
    </xf>
    <xf numFmtId="166" fontId="1" fillId="0" borderId="21" xfId="0" applyNumberFormat="1" applyFont="1" applyFill="1" applyBorder="1" applyAlignment="1" applyProtection="1">
      <alignment horizontal="center" vertical="center" wrapText="1"/>
      <protection/>
    </xf>
    <xf numFmtId="166" fontId="1" fillId="0" borderId="22" xfId="0" applyNumberFormat="1" applyFont="1" applyFill="1" applyBorder="1" applyAlignment="1" applyProtection="1">
      <alignment horizontal="center" vertical="center" wrapText="1"/>
      <protection/>
    </xf>
    <xf numFmtId="166" fontId="1" fillId="0" borderId="16" xfId="0" applyNumberFormat="1" applyFont="1" applyFill="1" applyBorder="1" applyAlignment="1" applyProtection="1">
      <alignment horizontal="center" vertical="center" wrapText="1"/>
      <protection/>
    </xf>
    <xf numFmtId="164" fontId="1" fillId="0" borderId="19" xfId="0" applyNumberFormat="1" applyFont="1" applyFill="1" applyBorder="1" applyAlignment="1" applyProtection="1">
      <alignment horizontal="center" wrapText="1"/>
      <protection/>
    </xf>
    <xf numFmtId="164" fontId="1" fillId="0" borderId="11" xfId="0" applyNumberFormat="1" applyFont="1" applyFill="1" applyBorder="1" applyAlignment="1" applyProtection="1">
      <alignment horizontal="left"/>
      <protection/>
    </xf>
    <xf numFmtId="164" fontId="1" fillId="0" borderId="17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 horizontal="center" wrapText="1"/>
      <protection/>
    </xf>
    <xf numFmtId="164" fontId="1" fillId="0" borderId="18" xfId="0" applyNumberFormat="1" applyFont="1" applyFill="1" applyBorder="1" applyAlignment="1" applyProtection="1">
      <alignment horizontal="center" wrapText="1"/>
      <protection/>
    </xf>
    <xf numFmtId="164" fontId="1" fillId="0" borderId="16" xfId="0" applyNumberFormat="1" applyFont="1" applyFill="1" applyBorder="1" applyAlignment="1" applyProtection="1">
      <alignment horizontal="center" wrapText="1"/>
      <protection/>
    </xf>
    <xf numFmtId="164" fontId="1" fillId="0" borderId="17" xfId="0" applyNumberFormat="1" applyFont="1" applyFill="1" applyBorder="1" applyAlignment="1" applyProtection="1">
      <alignment horizontal="center" wrapText="1"/>
      <protection/>
    </xf>
    <xf numFmtId="164" fontId="1" fillId="0" borderId="21" xfId="0" applyNumberFormat="1" applyFont="1" applyFill="1" applyBorder="1" applyAlignment="1" applyProtection="1">
      <alignment horizontal="center"/>
      <protection/>
    </xf>
    <xf numFmtId="164" fontId="1" fillId="0" borderId="22" xfId="0" applyNumberFormat="1" applyFont="1" applyFill="1" applyBorder="1" applyAlignment="1" applyProtection="1">
      <alignment horizontal="center"/>
      <protection/>
    </xf>
    <xf numFmtId="166" fontId="1" fillId="0" borderId="21" xfId="0" applyNumberFormat="1" applyFont="1" applyFill="1" applyBorder="1" applyAlignment="1" applyProtection="1">
      <alignment horizontal="center"/>
      <protection/>
    </xf>
    <xf numFmtId="166" fontId="1" fillId="0" borderId="22" xfId="0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0" borderId="19" xfId="0" applyNumberFormat="1" applyFont="1" applyFill="1" applyBorder="1" applyAlignment="1" applyProtection="1">
      <alignment horizontal="center" vertical="center" wrapText="1"/>
      <protection/>
    </xf>
    <xf numFmtId="166" fontId="1" fillId="0" borderId="23" xfId="0" applyNumberFormat="1" applyFont="1" applyFill="1" applyBorder="1" applyAlignment="1" applyProtection="1">
      <alignment horizontal="center"/>
      <protection/>
    </xf>
    <xf numFmtId="166" fontId="1" fillId="0" borderId="24" xfId="0" applyNumberFormat="1" applyFont="1" applyFill="1" applyBorder="1" applyAlignment="1" applyProtection="1">
      <alignment horizontal="center"/>
      <protection/>
    </xf>
    <xf numFmtId="166" fontId="1" fillId="0" borderId="13" xfId="0" applyNumberFormat="1" applyFont="1" applyFill="1" applyBorder="1" applyAlignment="1" applyProtection="1">
      <alignment horizontal="center"/>
      <protection/>
    </xf>
    <xf numFmtId="168" fontId="0" fillId="0" borderId="12" xfId="0" applyNumberFormat="1" applyBorder="1" applyAlignment="1">
      <alignment horizontal="center"/>
    </xf>
    <xf numFmtId="166" fontId="1" fillId="0" borderId="20" xfId="0" applyNumberFormat="1" applyFont="1" applyFill="1" applyBorder="1" applyAlignment="1" applyProtection="1">
      <alignment horizontal="center" vertical="center" wrapText="1"/>
      <protection/>
    </xf>
    <xf numFmtId="166" fontId="1" fillId="0" borderId="18" xfId="0" applyNumberFormat="1" applyFont="1" applyFill="1" applyBorder="1" applyAlignment="1" applyProtection="1">
      <alignment horizontal="center" vertical="center" wrapText="1"/>
      <protection/>
    </xf>
    <xf numFmtId="164" fontId="1" fillId="0" borderId="19" xfId="0" applyNumberFormat="1" applyFont="1" applyFill="1" applyBorder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6" fontId="1" fillId="0" borderId="14" xfId="0" applyNumberFormat="1" applyFont="1" applyFill="1" applyBorder="1" applyAlignment="1" applyProtection="1">
      <alignment horizontal="center" vertical="center" wrapText="1"/>
      <protection/>
    </xf>
    <xf numFmtId="166" fontId="1" fillId="0" borderId="15" xfId="0" applyNumberFormat="1" applyFont="1" applyFill="1" applyBorder="1" applyAlignment="1" applyProtection="1">
      <alignment horizontal="center" vertical="center" wrapText="1"/>
      <protection/>
    </xf>
    <xf numFmtId="166" fontId="1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762000</xdr:colOff>
      <xdr:row>4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58</xdr:row>
      <xdr:rowOff>76200</xdr:rowOff>
    </xdr:from>
    <xdr:to>
      <xdr:col>1</xdr:col>
      <xdr:colOff>762000</xdr:colOff>
      <xdr:row>62</xdr:row>
      <xdr:rowOff>133350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629775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34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4.625" style="0" customWidth="1"/>
    <col min="3" max="3" width="14.125" style="24" customWidth="1"/>
    <col min="4" max="4" width="13.00390625" style="24" customWidth="1"/>
    <col min="5" max="5" width="13.875" style="24" customWidth="1"/>
    <col min="6" max="6" width="14.875" style="24" customWidth="1"/>
    <col min="7" max="7" width="19.00390625" style="24" bestFit="1" customWidth="1"/>
    <col min="8" max="8" width="11.125" style="24" customWidth="1"/>
    <col min="9" max="9" width="21.00390625" style="24" customWidth="1"/>
    <col min="10" max="10" width="16.75390625" style="24" customWidth="1"/>
    <col min="11" max="11" width="15.125" style="24" customWidth="1"/>
    <col min="12" max="12" width="9.25390625" style="24" customWidth="1"/>
    <col min="13" max="13" width="14.75390625" style="24" customWidth="1"/>
    <col min="14" max="14" width="14.75390625" style="24" hidden="1" customWidth="1"/>
    <col min="15" max="15" width="24.00390625" style="25" hidden="1" customWidth="1"/>
    <col min="16" max="16" width="16.875" style="25" hidden="1" customWidth="1"/>
    <col min="17" max="17" width="17.00390625" style="25" hidden="1" customWidth="1"/>
    <col min="18" max="18" width="13.625" style="44" hidden="1" customWidth="1"/>
    <col min="19" max="19" width="19.75390625" style="25" hidden="1" customWidth="1"/>
    <col min="20" max="21" width="18.625" style="0" hidden="1" customWidth="1"/>
    <col min="22" max="22" width="5.625" style="0" hidden="1" customWidth="1"/>
    <col min="23" max="23" width="0" style="0" hidden="1" customWidth="1"/>
    <col min="25" max="25" width="11.625" style="0" customWidth="1"/>
  </cols>
  <sheetData>
    <row r="1" spans="1:18" ht="12.75">
      <c r="A1" s="3"/>
      <c r="B1" s="91" t="s">
        <v>78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9"/>
      <c r="R1" s="40"/>
    </row>
    <row r="2" spans="1:18" ht="15">
      <c r="A2" s="3"/>
      <c r="B2" s="7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R2" s="40"/>
    </row>
    <row r="3" spans="1:18" ht="18">
      <c r="A3" s="3"/>
      <c r="B3" s="92" t="s">
        <v>46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28"/>
      <c r="R3" s="40"/>
    </row>
    <row r="4" spans="1:18" ht="18">
      <c r="A4" s="3"/>
      <c r="B4" s="92" t="s">
        <v>47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28"/>
      <c r="R4" s="40"/>
    </row>
    <row r="5" spans="1:18" ht="12.75">
      <c r="A5" s="3"/>
      <c r="B5" s="2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R5" s="40"/>
    </row>
    <row r="6" spans="1:18" ht="12.75">
      <c r="A6" s="3"/>
      <c r="B6" s="68"/>
      <c r="C6" s="79" t="s">
        <v>2</v>
      </c>
      <c r="D6" s="113" t="s">
        <v>64</v>
      </c>
      <c r="E6" s="114"/>
      <c r="F6" s="114"/>
      <c r="G6" s="114"/>
      <c r="H6" s="114"/>
      <c r="I6" s="114"/>
      <c r="J6" s="114"/>
      <c r="K6" s="114"/>
      <c r="L6" s="114"/>
      <c r="M6" s="115"/>
      <c r="N6" s="36"/>
      <c r="R6" s="40"/>
    </row>
    <row r="7" spans="1:18" ht="12.75">
      <c r="A7" s="3"/>
      <c r="B7" s="69"/>
      <c r="C7" s="80"/>
      <c r="D7" s="116"/>
      <c r="E7" s="117"/>
      <c r="F7" s="117"/>
      <c r="G7" s="117"/>
      <c r="H7" s="117"/>
      <c r="I7" s="117"/>
      <c r="J7" s="117"/>
      <c r="K7" s="117"/>
      <c r="L7" s="117"/>
      <c r="M7" s="118"/>
      <c r="N7" s="37"/>
      <c r="R7" s="40"/>
    </row>
    <row r="8" spans="1:20" ht="12.75">
      <c r="A8" s="3"/>
      <c r="B8" s="72"/>
      <c r="C8" s="80"/>
      <c r="D8" s="73"/>
      <c r="E8" s="74"/>
      <c r="F8" s="68"/>
      <c r="G8" s="74"/>
      <c r="H8" s="74"/>
      <c r="I8" s="74" t="s">
        <v>49</v>
      </c>
      <c r="J8" s="68"/>
      <c r="K8" s="93" t="s">
        <v>61</v>
      </c>
      <c r="L8" s="94"/>
      <c r="M8" s="68"/>
      <c r="N8" s="37"/>
      <c r="O8" s="109" t="s">
        <v>71</v>
      </c>
      <c r="P8" s="109"/>
      <c r="Q8" s="109"/>
      <c r="R8" s="109"/>
      <c r="S8" s="109"/>
      <c r="T8" s="109"/>
    </row>
    <row r="9" spans="1:20" ht="12.75">
      <c r="A9" s="3"/>
      <c r="B9" s="75" t="s">
        <v>1</v>
      </c>
      <c r="C9" s="112"/>
      <c r="D9" s="71" t="s">
        <v>3</v>
      </c>
      <c r="E9" s="75" t="s">
        <v>4</v>
      </c>
      <c r="F9" s="75" t="s">
        <v>72</v>
      </c>
      <c r="G9" s="75" t="s">
        <v>5</v>
      </c>
      <c r="H9" s="75" t="s">
        <v>73</v>
      </c>
      <c r="I9" s="75" t="s">
        <v>77</v>
      </c>
      <c r="J9" s="75" t="s">
        <v>6</v>
      </c>
      <c r="K9" s="95"/>
      <c r="L9" s="96"/>
      <c r="M9" s="75" t="s">
        <v>55</v>
      </c>
      <c r="N9" s="37"/>
      <c r="O9" s="32"/>
      <c r="P9" s="109">
        <v>7.4</v>
      </c>
      <c r="Q9" s="109"/>
      <c r="R9" s="41" t="s">
        <v>54</v>
      </c>
      <c r="S9" s="30"/>
      <c r="T9" s="31"/>
    </row>
    <row r="10" spans="1:20" ht="12.75">
      <c r="A10" s="3"/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38"/>
      <c r="O10" s="32"/>
      <c r="P10" s="30" t="s">
        <v>68</v>
      </c>
      <c r="Q10" s="30" t="s">
        <v>69</v>
      </c>
      <c r="R10" s="41" t="s">
        <v>66</v>
      </c>
      <c r="S10" s="30" t="s">
        <v>65</v>
      </c>
      <c r="T10" s="31" t="s">
        <v>67</v>
      </c>
    </row>
    <row r="11" spans="1:20" s="11" customFormat="1" ht="12.75">
      <c r="A11" s="8"/>
      <c r="B11" s="9" t="s">
        <v>7</v>
      </c>
      <c r="C11" s="52">
        <f aca="true" t="shared" si="0" ref="C11:M11">SUM(C13+C25)</f>
        <v>64287.1</v>
      </c>
      <c r="D11" s="52">
        <f t="shared" si="0"/>
        <v>311765</v>
      </c>
      <c r="E11" s="52">
        <f t="shared" si="0"/>
        <v>208187.39999999997</v>
      </c>
      <c r="F11" s="52">
        <f t="shared" si="0"/>
        <v>20565.600000000002</v>
      </c>
      <c r="G11" s="52">
        <f t="shared" si="0"/>
        <v>59554.5</v>
      </c>
      <c r="H11" s="52">
        <f t="shared" si="0"/>
        <v>0</v>
      </c>
      <c r="I11" s="52">
        <f t="shared" si="0"/>
        <v>0</v>
      </c>
      <c r="J11" s="52">
        <f t="shared" si="0"/>
        <v>16429.8</v>
      </c>
      <c r="K11" s="52">
        <f t="shared" si="0"/>
        <v>41.5</v>
      </c>
      <c r="L11" s="52">
        <f t="shared" si="0"/>
        <v>0</v>
      </c>
      <c r="M11" s="52">
        <f t="shared" si="0"/>
        <v>16129.2</v>
      </c>
      <c r="N11" s="18"/>
      <c r="O11" s="34" t="s">
        <v>7</v>
      </c>
      <c r="P11" s="33">
        <f aca="true" t="shared" si="1" ref="P11:P17">SUM(C11:M11)</f>
        <v>696960.1</v>
      </c>
      <c r="Q11" s="33">
        <f aca="true" t="shared" si="2" ref="Q11:Q24">R69</f>
        <v>2275440.5</v>
      </c>
      <c r="R11" s="42">
        <f>P11+Q11</f>
        <v>2972400.6</v>
      </c>
      <c r="S11" s="33">
        <f>S13+S25</f>
        <v>2972400.6000000006</v>
      </c>
      <c r="T11" s="50">
        <f>R11-S11</f>
        <v>0</v>
      </c>
    </row>
    <row r="12" spans="1:20" ht="12.75">
      <c r="A12" s="3"/>
      <c r="B12" s="2" t="s">
        <v>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19"/>
      <c r="O12" s="32" t="s">
        <v>0</v>
      </c>
      <c r="P12" s="33">
        <f t="shared" si="1"/>
        <v>0</v>
      </c>
      <c r="Q12" s="35">
        <f t="shared" si="2"/>
        <v>0</v>
      </c>
      <c r="R12" s="42">
        <f aca="true" t="shared" si="3" ref="R12:R58">P12+Q12</f>
        <v>0</v>
      </c>
      <c r="S12" s="35"/>
      <c r="T12" s="35"/>
    </row>
    <row r="13" spans="1:25" s="11" customFormat="1" ht="12.75">
      <c r="A13" s="8"/>
      <c r="B13" s="9" t="s">
        <v>8</v>
      </c>
      <c r="C13" s="52">
        <f aca="true" t="shared" si="4" ref="C13:M13">SUM(C16:C23)</f>
        <v>32216.2</v>
      </c>
      <c r="D13" s="52">
        <f t="shared" si="4"/>
        <v>211731.09999999998</v>
      </c>
      <c r="E13" s="52">
        <f t="shared" si="4"/>
        <v>139221.3</v>
      </c>
      <c r="F13" s="52">
        <f t="shared" si="4"/>
        <v>12106.400000000001</v>
      </c>
      <c r="G13" s="52">
        <f t="shared" si="4"/>
        <v>43839.6</v>
      </c>
      <c r="H13" s="52">
        <f t="shared" si="4"/>
        <v>0</v>
      </c>
      <c r="I13" s="52">
        <f t="shared" si="4"/>
        <v>0</v>
      </c>
      <c r="J13" s="52">
        <f t="shared" si="4"/>
        <v>8348.300000000001</v>
      </c>
      <c r="K13" s="52">
        <f t="shared" si="4"/>
        <v>0</v>
      </c>
      <c r="L13" s="52">
        <f t="shared" si="4"/>
        <v>0</v>
      </c>
      <c r="M13" s="52">
        <f t="shared" si="4"/>
        <v>13471.5</v>
      </c>
      <c r="N13" s="18"/>
      <c r="O13" s="34" t="s">
        <v>8</v>
      </c>
      <c r="P13" s="33">
        <f t="shared" si="1"/>
        <v>460934.39999999997</v>
      </c>
      <c r="Q13" s="33">
        <f t="shared" si="2"/>
        <v>2106630.2</v>
      </c>
      <c r="R13" s="42">
        <f t="shared" si="3"/>
        <v>2567564.6</v>
      </c>
      <c r="S13" s="33">
        <f>SUM(S16:S23)</f>
        <v>2567564.6000000006</v>
      </c>
      <c r="T13" s="33">
        <f>SUM(T16:T23)</f>
        <v>0</v>
      </c>
      <c r="W13" s="12"/>
      <c r="X13" s="12"/>
      <c r="Y13" s="12"/>
    </row>
    <row r="14" spans="1:20" ht="12.75">
      <c r="A14" s="3"/>
      <c r="B14" s="2" t="s">
        <v>0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20"/>
      <c r="O14" s="32" t="s">
        <v>0</v>
      </c>
      <c r="P14" s="33">
        <f t="shared" si="1"/>
        <v>0</v>
      </c>
      <c r="Q14" s="35">
        <f t="shared" si="2"/>
        <v>0</v>
      </c>
      <c r="R14" s="42">
        <f t="shared" si="3"/>
        <v>0</v>
      </c>
      <c r="S14" s="35"/>
      <c r="T14" s="35"/>
    </row>
    <row r="15" spans="1:20" ht="12.75">
      <c r="A15" s="3"/>
      <c r="B15" s="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16"/>
      <c r="O15" s="32"/>
      <c r="P15" s="33">
        <f t="shared" si="1"/>
        <v>0</v>
      </c>
      <c r="Q15" s="35">
        <f t="shared" si="2"/>
        <v>0</v>
      </c>
      <c r="R15" s="42">
        <f t="shared" si="3"/>
        <v>0</v>
      </c>
      <c r="S15" s="35"/>
      <c r="T15" s="35"/>
    </row>
    <row r="16" spans="1:20" ht="12.75">
      <c r="A16" s="3"/>
      <c r="B16" s="47" t="s">
        <v>53</v>
      </c>
      <c r="C16" s="54">
        <v>23104.5</v>
      </c>
      <c r="D16" s="54">
        <f>89366+12841.4</f>
        <v>102207.4</v>
      </c>
      <c r="E16" s="54">
        <f>65059.9+7337.8</f>
        <v>72397.7</v>
      </c>
      <c r="F16" s="54">
        <v>11236.7</v>
      </c>
      <c r="G16" s="54">
        <v>21388.4</v>
      </c>
      <c r="H16" s="55"/>
      <c r="I16" s="54"/>
      <c r="J16" s="54">
        <v>3570.9</v>
      </c>
      <c r="K16" s="54"/>
      <c r="L16" s="54"/>
      <c r="M16" s="54">
        <v>8546.1</v>
      </c>
      <c r="N16" s="20"/>
      <c r="O16" s="32" t="s">
        <v>53</v>
      </c>
      <c r="P16" s="33">
        <f t="shared" si="1"/>
        <v>242451.69999999998</v>
      </c>
      <c r="Q16" s="35">
        <f t="shared" si="2"/>
        <v>2021088.3</v>
      </c>
      <c r="R16" s="42">
        <f t="shared" si="3"/>
        <v>2263540</v>
      </c>
      <c r="S16" s="49">
        <v>2263540</v>
      </c>
      <c r="T16" s="35">
        <f>R16-S16</f>
        <v>0</v>
      </c>
    </row>
    <row r="17" spans="1:20" ht="12.75">
      <c r="A17" s="3"/>
      <c r="B17" s="47" t="s">
        <v>13</v>
      </c>
      <c r="C17" s="54">
        <v>1441.6</v>
      </c>
      <c r="D17" s="54">
        <v>2090.1</v>
      </c>
      <c r="E17" s="54">
        <v>770.2</v>
      </c>
      <c r="F17" s="54">
        <v>4.9</v>
      </c>
      <c r="G17" s="54">
        <v>309.4</v>
      </c>
      <c r="H17" s="55"/>
      <c r="I17" s="54"/>
      <c r="J17" s="54">
        <v>123.4</v>
      </c>
      <c r="K17" s="54"/>
      <c r="L17" s="54"/>
      <c r="M17" s="54">
        <v>48.8</v>
      </c>
      <c r="N17" s="20"/>
      <c r="O17" s="32" t="s">
        <v>13</v>
      </c>
      <c r="P17" s="33">
        <f t="shared" si="1"/>
        <v>4788.399999999999</v>
      </c>
      <c r="Q17" s="35">
        <f t="shared" si="2"/>
        <v>6134.8</v>
      </c>
      <c r="R17" s="42">
        <f t="shared" si="3"/>
        <v>10923.199999999999</v>
      </c>
      <c r="S17" s="49">
        <v>10923.2</v>
      </c>
      <c r="T17" s="35">
        <f>R17-S17</f>
        <v>0</v>
      </c>
    </row>
    <row r="18" spans="1:20" ht="12.75">
      <c r="A18" s="3"/>
      <c r="B18" s="47" t="s">
        <v>14</v>
      </c>
      <c r="C18" s="54">
        <v>175.3</v>
      </c>
      <c r="D18" s="54">
        <v>5367</v>
      </c>
      <c r="E18" s="54">
        <v>2757.1</v>
      </c>
      <c r="F18" s="54">
        <v>25.7</v>
      </c>
      <c r="G18" s="54">
        <v>650.1</v>
      </c>
      <c r="H18" s="63"/>
      <c r="I18" s="54"/>
      <c r="J18" s="54">
        <v>162.2</v>
      </c>
      <c r="K18" s="54"/>
      <c r="L18" s="54"/>
      <c r="M18" s="54">
        <v>104.2</v>
      </c>
      <c r="N18" s="20"/>
      <c r="O18" s="32" t="s">
        <v>14</v>
      </c>
      <c r="P18" s="33">
        <f aca="true" t="shared" si="5" ref="P18:P58">SUM(C18:M18)</f>
        <v>9241.600000000002</v>
      </c>
      <c r="Q18" s="35">
        <f t="shared" si="2"/>
        <v>20504.4</v>
      </c>
      <c r="R18" s="42">
        <f t="shared" si="3"/>
        <v>29746.000000000004</v>
      </c>
      <c r="S18" s="49">
        <v>29746</v>
      </c>
      <c r="T18" s="35">
        <f>R18-S18</f>
        <v>0</v>
      </c>
    </row>
    <row r="19" spans="1:20" ht="12.75">
      <c r="A19" s="3"/>
      <c r="B19" s="47" t="s">
        <v>15</v>
      </c>
      <c r="C19" s="54">
        <v>79.9</v>
      </c>
      <c r="D19" s="54">
        <v>8040.9</v>
      </c>
      <c r="E19" s="54">
        <v>8563.3</v>
      </c>
      <c r="F19" s="54"/>
      <c r="G19" s="54">
        <v>2181.7</v>
      </c>
      <c r="H19" s="54"/>
      <c r="I19" s="54"/>
      <c r="J19" s="54">
        <v>418.2</v>
      </c>
      <c r="K19" s="54"/>
      <c r="L19" s="54"/>
      <c r="M19" s="54">
        <v>289.7</v>
      </c>
      <c r="N19" s="20"/>
      <c r="O19" s="32" t="s">
        <v>15</v>
      </c>
      <c r="P19" s="33">
        <f t="shared" si="5"/>
        <v>19573.7</v>
      </c>
      <c r="Q19" s="35">
        <f t="shared" si="2"/>
        <v>5732.6</v>
      </c>
      <c r="R19" s="42">
        <f t="shared" si="3"/>
        <v>25306.300000000003</v>
      </c>
      <c r="S19" s="49">
        <v>25306.3</v>
      </c>
      <c r="T19" s="35">
        <f aca="true" t="shared" si="6" ref="T19:T56">R19-S19</f>
        <v>0</v>
      </c>
    </row>
    <row r="20" spans="1:20" ht="12.75">
      <c r="A20" s="3"/>
      <c r="B20" s="47" t="s">
        <v>9</v>
      </c>
      <c r="C20" s="58">
        <v>3215.8</v>
      </c>
      <c r="D20" s="58">
        <f>35998+42.9</f>
        <v>36040.9</v>
      </c>
      <c r="E20" s="58">
        <f>26317.1+1.3</f>
        <v>26318.399999999998</v>
      </c>
      <c r="F20" s="58">
        <v>12.5</v>
      </c>
      <c r="G20" s="58">
        <f>4304.6+22.2</f>
        <v>4326.8</v>
      </c>
      <c r="H20" s="58"/>
      <c r="I20" s="58"/>
      <c r="J20" s="58">
        <v>2190.3</v>
      </c>
      <c r="K20" s="58"/>
      <c r="L20" s="58"/>
      <c r="M20" s="58">
        <v>2269.2</v>
      </c>
      <c r="N20" s="20"/>
      <c r="O20" s="32" t="s">
        <v>9</v>
      </c>
      <c r="P20" s="33">
        <f>SUM(C20:M20)</f>
        <v>74373.90000000001</v>
      </c>
      <c r="Q20" s="35">
        <f t="shared" si="2"/>
        <v>44930.2</v>
      </c>
      <c r="R20" s="42">
        <f>P20+Q20</f>
        <v>119304.1</v>
      </c>
      <c r="S20" s="49">
        <v>119304.1</v>
      </c>
      <c r="T20" s="35">
        <f t="shared" si="6"/>
        <v>0</v>
      </c>
    </row>
    <row r="21" spans="1:20" ht="12.75">
      <c r="A21" s="3"/>
      <c r="B21" s="47" t="s">
        <v>70</v>
      </c>
      <c r="C21" s="54">
        <v>3686.2</v>
      </c>
      <c r="D21" s="54">
        <v>7378.4</v>
      </c>
      <c r="E21" s="54">
        <v>4863.2</v>
      </c>
      <c r="F21" s="54">
        <v>596.1</v>
      </c>
      <c r="G21" s="54">
        <v>2195.5</v>
      </c>
      <c r="H21" s="55"/>
      <c r="I21" s="54"/>
      <c r="J21" s="54">
        <v>246.3</v>
      </c>
      <c r="K21" s="54"/>
      <c r="L21" s="54"/>
      <c r="M21" s="54">
        <v>212.2</v>
      </c>
      <c r="N21" s="20"/>
      <c r="O21" s="32" t="s">
        <v>70</v>
      </c>
      <c r="P21" s="33">
        <f t="shared" si="5"/>
        <v>19177.899999999998</v>
      </c>
      <c r="Q21" s="35">
        <f t="shared" si="2"/>
        <v>3057.8</v>
      </c>
      <c r="R21" s="42">
        <f t="shared" si="3"/>
        <v>22235.699999999997</v>
      </c>
      <c r="S21" s="49">
        <v>22235.7</v>
      </c>
      <c r="T21" s="35">
        <f t="shared" si="6"/>
        <v>0</v>
      </c>
    </row>
    <row r="22" spans="1:20" ht="12.75">
      <c r="A22" s="3"/>
      <c r="B22" s="47" t="s">
        <v>56</v>
      </c>
      <c r="C22" s="54"/>
      <c r="D22" s="54">
        <v>41577</v>
      </c>
      <c r="E22" s="54">
        <v>17098.8</v>
      </c>
      <c r="F22" s="54">
        <v>14.2</v>
      </c>
      <c r="G22" s="54">
        <v>9322</v>
      </c>
      <c r="H22" s="55"/>
      <c r="I22" s="54"/>
      <c r="J22" s="54">
        <v>1382.8</v>
      </c>
      <c r="K22" s="54"/>
      <c r="L22" s="54"/>
      <c r="M22" s="54">
        <v>1710.9</v>
      </c>
      <c r="N22" s="20"/>
      <c r="O22" s="32" t="s">
        <v>56</v>
      </c>
      <c r="P22" s="33">
        <f t="shared" si="5"/>
        <v>71105.7</v>
      </c>
      <c r="Q22" s="35">
        <f t="shared" si="2"/>
        <v>2083.9</v>
      </c>
      <c r="R22" s="42">
        <f t="shared" si="3"/>
        <v>73189.59999999999</v>
      </c>
      <c r="S22" s="49">
        <v>73189.6</v>
      </c>
      <c r="T22" s="35">
        <f t="shared" si="6"/>
        <v>0</v>
      </c>
    </row>
    <row r="23" spans="1:20" ht="12.75">
      <c r="A23" s="3"/>
      <c r="B23" s="47" t="s">
        <v>51</v>
      </c>
      <c r="C23" s="54">
        <v>512.9</v>
      </c>
      <c r="D23" s="54">
        <f>9022.6+6.8</f>
        <v>9029.4</v>
      </c>
      <c r="E23" s="54">
        <f>6448.6+4</f>
        <v>6452.6</v>
      </c>
      <c r="F23" s="54">
        <v>216.3</v>
      </c>
      <c r="G23" s="54">
        <f>3465.6+0.1</f>
        <v>3465.7</v>
      </c>
      <c r="H23" s="63"/>
      <c r="I23" s="54"/>
      <c r="J23" s="54">
        <v>254.2</v>
      </c>
      <c r="K23" s="54"/>
      <c r="L23" s="54"/>
      <c r="M23" s="54">
        <v>290.4</v>
      </c>
      <c r="N23" s="20"/>
      <c r="O23" s="32" t="s">
        <v>51</v>
      </c>
      <c r="P23" s="33">
        <f t="shared" si="5"/>
        <v>20221.5</v>
      </c>
      <c r="Q23" s="35">
        <f t="shared" si="2"/>
        <v>3098.2000000000003</v>
      </c>
      <c r="R23" s="42">
        <f t="shared" si="3"/>
        <v>23319.7</v>
      </c>
      <c r="S23" s="49">
        <v>23319.7</v>
      </c>
      <c r="T23" s="35">
        <f t="shared" si="6"/>
        <v>0</v>
      </c>
    </row>
    <row r="24" spans="1:20" ht="12.75">
      <c r="A24" s="3"/>
      <c r="B24" s="2" t="s">
        <v>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20"/>
      <c r="O24" s="32" t="s">
        <v>0</v>
      </c>
      <c r="P24" s="33">
        <f t="shared" si="5"/>
        <v>0</v>
      </c>
      <c r="Q24" s="35">
        <f t="shared" si="2"/>
        <v>0</v>
      </c>
      <c r="R24" s="42">
        <f t="shared" si="3"/>
        <v>0</v>
      </c>
      <c r="S24" s="35"/>
      <c r="T24" s="35">
        <f t="shared" si="6"/>
        <v>0</v>
      </c>
    </row>
    <row r="25" spans="1:30" s="11" customFormat="1" ht="12.75">
      <c r="A25" s="8"/>
      <c r="B25" s="9" t="s">
        <v>10</v>
      </c>
      <c r="C25" s="59">
        <f>SUM(C27:C56)</f>
        <v>32070.899999999998</v>
      </c>
      <c r="D25" s="59">
        <f aca="true" t="shared" si="7" ref="D25:M25">SUM(D27:D56)</f>
        <v>100033.9</v>
      </c>
      <c r="E25" s="59">
        <f t="shared" si="7"/>
        <v>68966.09999999999</v>
      </c>
      <c r="F25" s="59">
        <f t="shared" si="7"/>
        <v>8459.2</v>
      </c>
      <c r="G25" s="59">
        <f t="shared" si="7"/>
        <v>15714.899999999998</v>
      </c>
      <c r="H25" s="59">
        <f t="shared" si="7"/>
        <v>0</v>
      </c>
      <c r="I25" s="59">
        <f t="shared" si="7"/>
        <v>0</v>
      </c>
      <c r="J25" s="59">
        <f t="shared" si="7"/>
        <v>8081.499999999999</v>
      </c>
      <c r="K25" s="59">
        <f t="shared" si="7"/>
        <v>41.5</v>
      </c>
      <c r="L25" s="59">
        <f t="shared" si="7"/>
        <v>0</v>
      </c>
      <c r="M25" s="59">
        <f t="shared" si="7"/>
        <v>2657.7</v>
      </c>
      <c r="N25" s="21"/>
      <c r="O25" s="34" t="s">
        <v>10</v>
      </c>
      <c r="P25" s="33">
        <f>SUM(P27:P56)</f>
        <v>236025.69999999995</v>
      </c>
      <c r="Q25" s="33">
        <f>SUM(Q27:Q56)</f>
        <v>168810.29999999996</v>
      </c>
      <c r="R25" s="42">
        <f>SUM(R27:R56)</f>
        <v>404836</v>
      </c>
      <c r="S25" s="33">
        <f>SUM(S27:S56)</f>
        <v>404836</v>
      </c>
      <c r="T25" s="35">
        <f t="shared" si="6"/>
        <v>0</v>
      </c>
      <c r="W25" s="12"/>
      <c r="X25" s="12"/>
      <c r="Y25" s="12"/>
      <c r="Z25" s="12"/>
      <c r="AA25" s="12"/>
      <c r="AB25" s="12"/>
      <c r="AC25" s="12"/>
      <c r="AD25" s="12"/>
    </row>
    <row r="26" spans="1:20" ht="12.75">
      <c r="A26" s="3"/>
      <c r="B26" s="2" t="s">
        <v>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20"/>
      <c r="O26" s="32" t="s">
        <v>0</v>
      </c>
      <c r="P26" s="33">
        <f t="shared" si="5"/>
        <v>0</v>
      </c>
      <c r="Q26" s="35">
        <f aca="true" t="shared" si="8" ref="Q26:Q57">R84</f>
        <v>0</v>
      </c>
      <c r="R26" s="42">
        <f t="shared" si="3"/>
        <v>0</v>
      </c>
      <c r="S26" s="35"/>
      <c r="T26" s="35">
        <f t="shared" si="6"/>
        <v>0</v>
      </c>
    </row>
    <row r="27" spans="1:20" ht="12.75">
      <c r="A27" s="3"/>
      <c r="B27" s="5" t="s">
        <v>17</v>
      </c>
      <c r="C27" s="61">
        <v>3800.1</v>
      </c>
      <c r="D27" s="61">
        <v>2611.4</v>
      </c>
      <c r="E27" s="61">
        <v>82.9</v>
      </c>
      <c r="F27" s="61">
        <v>105.7</v>
      </c>
      <c r="G27" s="61">
        <v>365.7</v>
      </c>
      <c r="H27" s="61"/>
      <c r="I27" s="61"/>
      <c r="J27" s="61">
        <v>21.5</v>
      </c>
      <c r="K27" s="61"/>
      <c r="L27" s="61"/>
      <c r="M27" s="61">
        <v>32.4</v>
      </c>
      <c r="N27" s="20"/>
      <c r="O27" s="32" t="s">
        <v>17</v>
      </c>
      <c r="P27" s="33">
        <f t="shared" si="5"/>
        <v>7019.699999999999</v>
      </c>
      <c r="Q27" s="35">
        <f t="shared" si="8"/>
        <v>12940.9</v>
      </c>
      <c r="R27" s="42">
        <f t="shared" si="3"/>
        <v>19960.6</v>
      </c>
      <c r="S27" s="49">
        <v>19960.6</v>
      </c>
      <c r="T27" s="35">
        <f t="shared" si="6"/>
        <v>0</v>
      </c>
    </row>
    <row r="28" spans="1:20" ht="12.75">
      <c r="A28" s="3"/>
      <c r="B28" s="5" t="s">
        <v>18</v>
      </c>
      <c r="C28" s="61">
        <v>125</v>
      </c>
      <c r="D28" s="61">
        <v>4921.9</v>
      </c>
      <c r="E28" s="61">
        <v>5754.5</v>
      </c>
      <c r="F28" s="61">
        <v>143.4</v>
      </c>
      <c r="G28" s="61"/>
      <c r="H28" s="61"/>
      <c r="I28" s="61"/>
      <c r="J28" s="61">
        <v>7.2</v>
      </c>
      <c r="K28" s="61"/>
      <c r="L28" s="61"/>
      <c r="M28" s="61">
        <v>299.4</v>
      </c>
      <c r="N28" s="20"/>
      <c r="O28" s="32" t="s">
        <v>18</v>
      </c>
      <c r="P28" s="33">
        <f t="shared" si="5"/>
        <v>11251.4</v>
      </c>
      <c r="Q28" s="35">
        <f t="shared" si="8"/>
        <v>2531.4</v>
      </c>
      <c r="R28" s="42">
        <f t="shared" si="3"/>
        <v>13782.8</v>
      </c>
      <c r="S28" s="49">
        <v>13782.8</v>
      </c>
      <c r="T28" s="35">
        <f t="shared" si="6"/>
        <v>0</v>
      </c>
    </row>
    <row r="29" spans="1:20" ht="12.75">
      <c r="A29" s="3"/>
      <c r="B29" s="5" t="s">
        <v>19</v>
      </c>
      <c r="C29" s="61">
        <v>60.1</v>
      </c>
      <c r="D29" s="61">
        <v>20001.8</v>
      </c>
      <c r="E29" s="61">
        <v>182.8</v>
      </c>
      <c r="F29" s="61"/>
      <c r="G29" s="61"/>
      <c r="H29" s="61"/>
      <c r="I29" s="61"/>
      <c r="J29" s="61"/>
      <c r="K29" s="61"/>
      <c r="L29" s="61"/>
      <c r="M29" s="61">
        <v>240</v>
      </c>
      <c r="N29" s="20"/>
      <c r="O29" s="32" t="s">
        <v>19</v>
      </c>
      <c r="P29" s="33">
        <f t="shared" si="5"/>
        <v>20484.699999999997</v>
      </c>
      <c r="Q29" s="35">
        <f t="shared" si="8"/>
        <v>6084</v>
      </c>
      <c r="R29" s="42">
        <f t="shared" si="3"/>
        <v>26568.699999999997</v>
      </c>
      <c r="S29" s="49">
        <v>26568.7</v>
      </c>
      <c r="T29" s="35">
        <f t="shared" si="6"/>
        <v>0</v>
      </c>
    </row>
    <row r="30" spans="1:20" ht="12.75">
      <c r="A30" s="3"/>
      <c r="B30" s="5" t="s">
        <v>20</v>
      </c>
      <c r="C30" s="61">
        <v>333.3</v>
      </c>
      <c r="D30" s="61">
        <v>5801.9</v>
      </c>
      <c r="E30" s="61">
        <v>436.4</v>
      </c>
      <c r="F30" s="61"/>
      <c r="G30" s="61"/>
      <c r="H30" s="61"/>
      <c r="I30" s="61"/>
      <c r="J30" s="61">
        <v>96.8</v>
      </c>
      <c r="K30" s="61"/>
      <c r="L30" s="61"/>
      <c r="M30" s="61">
        <v>54.7</v>
      </c>
      <c r="N30" s="20"/>
      <c r="O30" s="32" t="s">
        <v>20</v>
      </c>
      <c r="P30" s="33">
        <f t="shared" si="5"/>
        <v>6723.099999999999</v>
      </c>
      <c r="Q30" s="35">
        <f t="shared" si="8"/>
        <v>49.7</v>
      </c>
      <c r="R30" s="42">
        <f t="shared" si="3"/>
        <v>6772.799999999999</v>
      </c>
      <c r="S30" s="49">
        <v>6772.8</v>
      </c>
      <c r="T30" s="35">
        <f t="shared" si="6"/>
        <v>0</v>
      </c>
    </row>
    <row r="31" spans="1:20" ht="12.75">
      <c r="A31" s="3"/>
      <c r="B31" s="5" t="s">
        <v>21</v>
      </c>
      <c r="C31" s="61">
        <v>1759.5</v>
      </c>
      <c r="D31" s="61">
        <v>2291.5</v>
      </c>
      <c r="E31" s="61">
        <v>3589.5</v>
      </c>
      <c r="F31" s="61"/>
      <c r="G31" s="61">
        <v>616.6</v>
      </c>
      <c r="H31" s="61"/>
      <c r="I31" s="61"/>
      <c r="J31" s="61">
        <v>100.3</v>
      </c>
      <c r="K31" s="61"/>
      <c r="L31" s="61"/>
      <c r="M31" s="61">
        <v>54.8</v>
      </c>
      <c r="N31" s="20"/>
      <c r="O31" s="32" t="s">
        <v>21</v>
      </c>
      <c r="P31" s="33">
        <f t="shared" si="5"/>
        <v>8412.199999999999</v>
      </c>
      <c r="Q31" s="35">
        <f t="shared" si="8"/>
        <v>6782.3</v>
      </c>
      <c r="R31" s="42">
        <f t="shared" si="3"/>
        <v>15194.5</v>
      </c>
      <c r="S31" s="49">
        <v>15194.5</v>
      </c>
      <c r="T31" s="35">
        <f t="shared" si="6"/>
        <v>0</v>
      </c>
    </row>
    <row r="32" spans="1:20" ht="12.75">
      <c r="A32" s="3"/>
      <c r="B32" s="5" t="s">
        <v>22</v>
      </c>
      <c r="C32" s="61">
        <v>1048.9</v>
      </c>
      <c r="D32" s="61">
        <v>665.5</v>
      </c>
      <c r="E32" s="61">
        <v>875</v>
      </c>
      <c r="F32" s="64">
        <v>539.6</v>
      </c>
      <c r="G32" s="61">
        <v>6854.4</v>
      </c>
      <c r="H32" s="61"/>
      <c r="I32" s="61"/>
      <c r="J32" s="61">
        <v>31.8</v>
      </c>
      <c r="K32" s="61"/>
      <c r="L32" s="61"/>
      <c r="M32" s="61">
        <v>277.5</v>
      </c>
      <c r="N32" s="20"/>
      <c r="O32" s="32" t="s">
        <v>22</v>
      </c>
      <c r="P32" s="33">
        <f t="shared" si="5"/>
        <v>10292.699999999999</v>
      </c>
      <c r="Q32" s="35">
        <f t="shared" si="8"/>
        <v>4285.8</v>
      </c>
      <c r="R32" s="42">
        <f t="shared" si="3"/>
        <v>14578.5</v>
      </c>
      <c r="S32" s="49">
        <v>14578.5</v>
      </c>
      <c r="T32" s="35">
        <f t="shared" si="6"/>
        <v>0</v>
      </c>
    </row>
    <row r="33" spans="1:20" ht="12.75">
      <c r="A33" s="3"/>
      <c r="B33" s="5" t="s">
        <v>23</v>
      </c>
      <c r="C33" s="61">
        <v>260.1</v>
      </c>
      <c r="D33" s="61">
        <v>1404.8</v>
      </c>
      <c r="E33" s="61">
        <v>5597.1</v>
      </c>
      <c r="F33" s="61">
        <v>249.2</v>
      </c>
      <c r="G33" s="61"/>
      <c r="H33" s="61"/>
      <c r="I33" s="61"/>
      <c r="J33" s="61">
        <v>3313.6</v>
      </c>
      <c r="K33" s="61"/>
      <c r="L33" s="61"/>
      <c r="M33" s="61">
        <v>210.2</v>
      </c>
      <c r="N33" s="20"/>
      <c r="O33" s="32" t="s">
        <v>23</v>
      </c>
      <c r="P33" s="33">
        <f t="shared" si="5"/>
        <v>11035</v>
      </c>
      <c r="Q33" s="35">
        <f t="shared" si="8"/>
        <v>10261</v>
      </c>
      <c r="R33" s="42">
        <f t="shared" si="3"/>
        <v>21296</v>
      </c>
      <c r="S33" s="49">
        <v>21296</v>
      </c>
      <c r="T33" s="35">
        <f t="shared" si="6"/>
        <v>0</v>
      </c>
    </row>
    <row r="34" spans="1:20" ht="12.75">
      <c r="A34" s="3"/>
      <c r="B34" s="5" t="s">
        <v>24</v>
      </c>
      <c r="C34" s="61">
        <v>523.6</v>
      </c>
      <c r="D34" s="61">
        <v>9853.6</v>
      </c>
      <c r="E34" s="61">
        <v>193.8</v>
      </c>
      <c r="F34" s="61">
        <v>2875.6</v>
      </c>
      <c r="G34" s="61">
        <v>4.9</v>
      </c>
      <c r="H34" s="61"/>
      <c r="I34" s="61"/>
      <c r="J34" s="61"/>
      <c r="K34" s="61"/>
      <c r="L34" s="61"/>
      <c r="M34" s="61">
        <v>70.7</v>
      </c>
      <c r="N34" s="20"/>
      <c r="O34" s="32" t="s">
        <v>24</v>
      </c>
      <c r="P34" s="33">
        <f t="shared" si="5"/>
        <v>13522.2</v>
      </c>
      <c r="Q34" s="35">
        <f t="shared" si="8"/>
        <v>2994.8</v>
      </c>
      <c r="R34" s="42">
        <f t="shared" si="3"/>
        <v>16517</v>
      </c>
      <c r="S34" s="49">
        <v>16517</v>
      </c>
      <c r="T34" s="35">
        <f t="shared" si="6"/>
        <v>0</v>
      </c>
    </row>
    <row r="35" spans="1:20" ht="12.75">
      <c r="A35" s="3"/>
      <c r="B35" s="5" t="s">
        <v>25</v>
      </c>
      <c r="C35" s="61">
        <v>1074.6</v>
      </c>
      <c r="D35" s="61">
        <v>5411.5</v>
      </c>
      <c r="E35" s="61">
        <v>286.7</v>
      </c>
      <c r="F35" s="61">
        <v>877.6</v>
      </c>
      <c r="G35" s="61">
        <v>7.3</v>
      </c>
      <c r="H35" s="61"/>
      <c r="I35" s="61"/>
      <c r="J35" s="61">
        <v>3.6</v>
      </c>
      <c r="K35" s="61"/>
      <c r="L35" s="61"/>
      <c r="M35" s="61">
        <v>43.4</v>
      </c>
      <c r="N35" s="20"/>
      <c r="O35" s="32" t="s">
        <v>25</v>
      </c>
      <c r="P35" s="33">
        <f t="shared" si="5"/>
        <v>7704.700000000001</v>
      </c>
      <c r="Q35" s="35">
        <f t="shared" si="8"/>
        <v>3500.3</v>
      </c>
      <c r="R35" s="42">
        <f t="shared" si="3"/>
        <v>11205</v>
      </c>
      <c r="S35" s="49">
        <v>11205</v>
      </c>
      <c r="T35" s="35">
        <f t="shared" si="6"/>
        <v>0</v>
      </c>
    </row>
    <row r="36" spans="1:20" ht="12.75">
      <c r="A36" s="3"/>
      <c r="B36" s="5" t="s">
        <v>26</v>
      </c>
      <c r="C36" s="61">
        <v>2767.4</v>
      </c>
      <c r="D36" s="61">
        <v>557.9</v>
      </c>
      <c r="E36" s="61">
        <v>192.6</v>
      </c>
      <c r="F36" s="61">
        <v>18.1</v>
      </c>
      <c r="G36" s="61"/>
      <c r="H36" s="61"/>
      <c r="I36" s="61"/>
      <c r="J36" s="61">
        <v>53.3</v>
      </c>
      <c r="K36" s="61"/>
      <c r="L36" s="61"/>
      <c r="M36" s="61">
        <v>13.1</v>
      </c>
      <c r="N36" s="20"/>
      <c r="O36" s="32" t="s">
        <v>26</v>
      </c>
      <c r="P36" s="33">
        <f t="shared" si="5"/>
        <v>3602.4</v>
      </c>
      <c r="Q36" s="35">
        <f t="shared" si="8"/>
        <v>11341.8</v>
      </c>
      <c r="R36" s="42">
        <f t="shared" si="3"/>
        <v>14944.199999999999</v>
      </c>
      <c r="S36" s="49">
        <v>14944.2</v>
      </c>
      <c r="T36" s="35">
        <f t="shared" si="6"/>
        <v>0</v>
      </c>
    </row>
    <row r="37" spans="1:20" ht="12.75">
      <c r="A37" s="3"/>
      <c r="B37" s="5" t="s">
        <v>27</v>
      </c>
      <c r="C37" s="61">
        <v>206.2</v>
      </c>
      <c r="D37" s="61">
        <v>168</v>
      </c>
      <c r="E37" s="61">
        <v>258.8</v>
      </c>
      <c r="F37" s="61"/>
      <c r="G37" s="61">
        <v>6</v>
      </c>
      <c r="H37" s="61"/>
      <c r="I37" s="61"/>
      <c r="J37" s="61">
        <v>25</v>
      </c>
      <c r="K37" s="61"/>
      <c r="L37" s="61"/>
      <c r="M37" s="61">
        <v>6.7</v>
      </c>
      <c r="N37" s="20"/>
      <c r="O37" s="32" t="s">
        <v>27</v>
      </c>
      <c r="P37" s="33">
        <f t="shared" si="5"/>
        <v>670.7</v>
      </c>
      <c r="Q37" s="35">
        <f t="shared" si="8"/>
        <v>17702.6</v>
      </c>
      <c r="R37" s="42">
        <f t="shared" si="3"/>
        <v>18373.3</v>
      </c>
      <c r="S37" s="49">
        <v>18373.3</v>
      </c>
      <c r="T37" s="35">
        <f t="shared" si="6"/>
        <v>0</v>
      </c>
    </row>
    <row r="38" spans="1:20" ht="12.75">
      <c r="A38" s="3"/>
      <c r="B38" s="5" t="s">
        <v>28</v>
      </c>
      <c r="C38" s="61">
        <v>1228.7</v>
      </c>
      <c r="D38" s="61">
        <v>174</v>
      </c>
      <c r="E38" s="61">
        <v>176.9</v>
      </c>
      <c r="F38" s="61">
        <v>82</v>
      </c>
      <c r="G38" s="61"/>
      <c r="H38" s="61"/>
      <c r="I38" s="61"/>
      <c r="J38" s="61">
        <v>57.2</v>
      </c>
      <c r="K38" s="61"/>
      <c r="L38" s="61"/>
      <c r="M38" s="61">
        <v>2.4</v>
      </c>
      <c r="N38" s="20"/>
      <c r="O38" s="32" t="s">
        <v>28</v>
      </c>
      <c r="P38" s="33">
        <f t="shared" si="5"/>
        <v>1721.2000000000003</v>
      </c>
      <c r="Q38" s="35">
        <f t="shared" si="8"/>
        <v>509.7</v>
      </c>
      <c r="R38" s="42">
        <f t="shared" si="3"/>
        <v>2230.9</v>
      </c>
      <c r="S38" s="49">
        <v>2230.9</v>
      </c>
      <c r="T38" s="35">
        <f t="shared" si="6"/>
        <v>0</v>
      </c>
    </row>
    <row r="39" spans="1:20" ht="12.75">
      <c r="A39" s="3"/>
      <c r="B39" s="5" t="s">
        <v>29</v>
      </c>
      <c r="C39" s="61">
        <v>954.8</v>
      </c>
      <c r="D39" s="61">
        <v>7016.7</v>
      </c>
      <c r="E39" s="61">
        <v>1539.2</v>
      </c>
      <c r="F39" s="61">
        <v>195.2</v>
      </c>
      <c r="G39" s="61"/>
      <c r="H39" s="64"/>
      <c r="I39" s="61"/>
      <c r="J39" s="61">
        <v>330.5</v>
      </c>
      <c r="K39" s="61"/>
      <c r="L39" s="61"/>
      <c r="M39" s="61">
        <v>110.7</v>
      </c>
      <c r="N39" s="20"/>
      <c r="O39" s="32" t="s">
        <v>29</v>
      </c>
      <c r="P39" s="33">
        <f t="shared" si="5"/>
        <v>10147.100000000002</v>
      </c>
      <c r="Q39" s="35">
        <f t="shared" si="8"/>
        <v>11235.5</v>
      </c>
      <c r="R39" s="42">
        <f t="shared" si="3"/>
        <v>21382.600000000002</v>
      </c>
      <c r="S39" s="49">
        <v>21382.6</v>
      </c>
      <c r="T39" s="35">
        <f t="shared" si="6"/>
        <v>0</v>
      </c>
    </row>
    <row r="40" spans="1:20" ht="12.75">
      <c r="A40" s="3"/>
      <c r="B40" s="5" t="s">
        <v>30</v>
      </c>
      <c r="C40" s="61">
        <v>2765.7</v>
      </c>
      <c r="D40" s="61">
        <v>304.9</v>
      </c>
      <c r="E40" s="61">
        <v>336</v>
      </c>
      <c r="F40" s="61">
        <v>2238.6</v>
      </c>
      <c r="G40" s="61">
        <v>182.4</v>
      </c>
      <c r="H40" s="65"/>
      <c r="I40" s="61"/>
      <c r="J40" s="61">
        <v>18.9</v>
      </c>
      <c r="K40" s="61"/>
      <c r="L40" s="61"/>
      <c r="M40" s="61">
        <v>12.8</v>
      </c>
      <c r="N40" s="20"/>
      <c r="O40" s="32" t="s">
        <v>30</v>
      </c>
      <c r="P40" s="33">
        <f t="shared" si="5"/>
        <v>5859.299999999999</v>
      </c>
      <c r="Q40" s="35">
        <f t="shared" si="8"/>
        <v>1652.1</v>
      </c>
      <c r="R40" s="42">
        <f t="shared" si="3"/>
        <v>7511.4</v>
      </c>
      <c r="S40" s="49">
        <v>7511.4</v>
      </c>
      <c r="T40" s="35">
        <f t="shared" si="6"/>
        <v>0</v>
      </c>
    </row>
    <row r="41" spans="1:20" ht="12.75">
      <c r="A41" s="3"/>
      <c r="B41" s="5" t="s">
        <v>31</v>
      </c>
      <c r="C41" s="61">
        <v>1415.5</v>
      </c>
      <c r="D41" s="61">
        <v>495.6</v>
      </c>
      <c r="E41" s="61">
        <v>229.1</v>
      </c>
      <c r="F41" s="61">
        <v>71</v>
      </c>
      <c r="G41" s="61">
        <v>230.3</v>
      </c>
      <c r="H41" s="65"/>
      <c r="I41" s="61"/>
      <c r="J41" s="61">
        <v>10.7</v>
      </c>
      <c r="K41" s="61"/>
      <c r="L41" s="61"/>
      <c r="M41" s="61">
        <v>10.9</v>
      </c>
      <c r="N41" s="20"/>
      <c r="O41" s="32" t="s">
        <v>31</v>
      </c>
      <c r="P41" s="33">
        <f t="shared" si="5"/>
        <v>2463.1</v>
      </c>
      <c r="Q41" s="35">
        <f t="shared" si="8"/>
        <v>24177.800000000003</v>
      </c>
      <c r="R41" s="42">
        <f t="shared" si="3"/>
        <v>26640.9</v>
      </c>
      <c r="S41" s="49">
        <v>26640.9</v>
      </c>
      <c r="T41" s="35">
        <f t="shared" si="6"/>
        <v>0</v>
      </c>
    </row>
    <row r="42" spans="1:20" ht="12.75">
      <c r="A42" s="3"/>
      <c r="B42" s="5" t="s">
        <v>32</v>
      </c>
      <c r="C42" s="61">
        <v>2188.6</v>
      </c>
      <c r="D42" s="61">
        <v>355.8</v>
      </c>
      <c r="E42" s="61">
        <v>533.9</v>
      </c>
      <c r="F42" s="61">
        <v>379.1</v>
      </c>
      <c r="G42" s="61">
        <v>89.9</v>
      </c>
      <c r="H42" s="64"/>
      <c r="I42" s="61"/>
      <c r="J42" s="61"/>
      <c r="K42" s="61"/>
      <c r="L42" s="61"/>
      <c r="M42" s="61">
        <v>9.9</v>
      </c>
      <c r="N42" s="20"/>
      <c r="O42" s="32" t="s">
        <v>32</v>
      </c>
      <c r="P42" s="33">
        <f t="shared" si="5"/>
        <v>3557.2000000000003</v>
      </c>
      <c r="Q42" s="35">
        <f t="shared" si="8"/>
        <v>542.4</v>
      </c>
      <c r="R42" s="42">
        <f t="shared" si="3"/>
        <v>4099.6</v>
      </c>
      <c r="S42" s="49">
        <v>4099.6</v>
      </c>
      <c r="T42" s="35">
        <f t="shared" si="6"/>
        <v>0</v>
      </c>
    </row>
    <row r="43" spans="1:20" ht="12.75">
      <c r="A43" s="3"/>
      <c r="B43" s="5" t="s">
        <v>33</v>
      </c>
      <c r="C43" s="61">
        <v>1379.6</v>
      </c>
      <c r="D43" s="61">
        <v>1901.4</v>
      </c>
      <c r="E43" s="61">
        <v>1122.7</v>
      </c>
      <c r="F43" s="61"/>
      <c r="G43" s="61">
        <v>4048.6</v>
      </c>
      <c r="H43" s="64"/>
      <c r="I43" s="61"/>
      <c r="J43" s="61">
        <v>228.3</v>
      </c>
      <c r="K43" s="61"/>
      <c r="L43" s="61"/>
      <c r="M43" s="61">
        <v>143.2</v>
      </c>
      <c r="N43" s="20"/>
      <c r="O43" s="32" t="s">
        <v>33</v>
      </c>
      <c r="P43" s="33">
        <f t="shared" si="5"/>
        <v>8823.8</v>
      </c>
      <c r="Q43" s="35">
        <f t="shared" si="8"/>
        <v>4214.400000000001</v>
      </c>
      <c r="R43" s="42">
        <f t="shared" si="3"/>
        <v>13038.2</v>
      </c>
      <c r="S43" s="49">
        <v>13038.2</v>
      </c>
      <c r="T43" s="35">
        <f t="shared" si="6"/>
        <v>0</v>
      </c>
    </row>
    <row r="44" spans="1:20" ht="12.75">
      <c r="A44" s="3"/>
      <c r="B44" s="5" t="s">
        <v>34</v>
      </c>
      <c r="C44" s="61">
        <v>604.8</v>
      </c>
      <c r="D44" s="61">
        <v>3198.3</v>
      </c>
      <c r="E44" s="61">
        <v>983</v>
      </c>
      <c r="F44" s="61">
        <v>29.6</v>
      </c>
      <c r="G44" s="61">
        <v>3.1</v>
      </c>
      <c r="H44" s="66"/>
      <c r="I44" s="61"/>
      <c r="J44" s="61">
        <v>348.2</v>
      </c>
      <c r="K44" s="61"/>
      <c r="L44" s="61"/>
      <c r="M44" s="61">
        <v>64.4</v>
      </c>
      <c r="N44" s="20"/>
      <c r="O44" s="32" t="s">
        <v>34</v>
      </c>
      <c r="P44" s="33">
        <f t="shared" si="5"/>
        <v>5231.400000000001</v>
      </c>
      <c r="Q44" s="35">
        <f t="shared" si="8"/>
        <v>3773.2</v>
      </c>
      <c r="R44" s="42">
        <f t="shared" si="3"/>
        <v>9004.6</v>
      </c>
      <c r="S44" s="49">
        <v>9004.6</v>
      </c>
      <c r="T44" s="35">
        <f t="shared" si="6"/>
        <v>0</v>
      </c>
    </row>
    <row r="45" spans="1:20" ht="12.75">
      <c r="A45" s="3"/>
      <c r="B45" s="5" t="s">
        <v>35</v>
      </c>
      <c r="C45" s="61">
        <v>432.3</v>
      </c>
      <c r="D45" s="61">
        <v>1627.5</v>
      </c>
      <c r="E45" s="61">
        <v>8091.6</v>
      </c>
      <c r="F45" s="61"/>
      <c r="G45" s="61"/>
      <c r="H45" s="65"/>
      <c r="I45" s="61"/>
      <c r="J45" s="61">
        <v>479.9</v>
      </c>
      <c r="K45" s="61"/>
      <c r="L45" s="61"/>
      <c r="M45" s="61">
        <v>94.5</v>
      </c>
      <c r="N45" s="20"/>
      <c r="O45" s="32" t="s">
        <v>35</v>
      </c>
      <c r="P45" s="33">
        <f t="shared" si="5"/>
        <v>10725.800000000001</v>
      </c>
      <c r="Q45" s="35">
        <f t="shared" si="8"/>
        <v>4328.9</v>
      </c>
      <c r="R45" s="42">
        <f t="shared" si="3"/>
        <v>15054.7</v>
      </c>
      <c r="S45" s="49">
        <v>15054.7</v>
      </c>
      <c r="T45" s="35">
        <f t="shared" si="6"/>
        <v>0</v>
      </c>
    </row>
    <row r="46" spans="1:20" ht="12.75">
      <c r="A46" s="3"/>
      <c r="B46" s="5" t="s">
        <v>36</v>
      </c>
      <c r="C46" s="61">
        <v>850.9</v>
      </c>
      <c r="D46" s="61">
        <v>254.7</v>
      </c>
      <c r="E46" s="61">
        <v>396.7</v>
      </c>
      <c r="F46" s="61">
        <v>19.3</v>
      </c>
      <c r="G46" s="61">
        <v>82.6</v>
      </c>
      <c r="H46" s="64"/>
      <c r="I46" s="61"/>
      <c r="J46" s="61"/>
      <c r="K46" s="61"/>
      <c r="L46" s="61"/>
      <c r="M46" s="61">
        <v>5.8</v>
      </c>
      <c r="N46" s="20"/>
      <c r="O46" s="32" t="s">
        <v>36</v>
      </c>
      <c r="P46" s="33">
        <f t="shared" si="5"/>
        <v>1609.9999999999998</v>
      </c>
      <c r="Q46" s="35">
        <f t="shared" si="8"/>
        <v>619.4</v>
      </c>
      <c r="R46" s="42">
        <f t="shared" si="3"/>
        <v>2229.3999999999996</v>
      </c>
      <c r="S46" s="49">
        <v>2229.4</v>
      </c>
      <c r="T46" s="35">
        <f t="shared" si="6"/>
        <v>0</v>
      </c>
    </row>
    <row r="47" spans="1:20" ht="12.75">
      <c r="A47" s="3"/>
      <c r="B47" s="5" t="s">
        <v>37</v>
      </c>
      <c r="C47" s="61">
        <v>1861.9</v>
      </c>
      <c r="D47" s="61">
        <v>1158.6</v>
      </c>
      <c r="E47" s="61">
        <v>630.6</v>
      </c>
      <c r="F47" s="61">
        <v>32.3</v>
      </c>
      <c r="G47" s="61">
        <v>55.9</v>
      </c>
      <c r="H47" s="64"/>
      <c r="I47" s="61"/>
      <c r="J47" s="61">
        <v>52</v>
      </c>
      <c r="K47" s="61"/>
      <c r="L47" s="61"/>
      <c r="M47" s="61">
        <v>16.8</v>
      </c>
      <c r="N47" s="20"/>
      <c r="O47" s="32" t="s">
        <v>37</v>
      </c>
      <c r="P47" s="33">
        <f t="shared" si="5"/>
        <v>3808.1000000000004</v>
      </c>
      <c r="Q47" s="35">
        <f t="shared" si="8"/>
        <v>4646.2</v>
      </c>
      <c r="R47" s="42">
        <f t="shared" si="3"/>
        <v>8454.3</v>
      </c>
      <c r="S47" s="49">
        <v>8454.3</v>
      </c>
      <c r="T47" s="35">
        <f t="shared" si="6"/>
        <v>0</v>
      </c>
    </row>
    <row r="48" spans="1:20" ht="12.75">
      <c r="A48" s="3"/>
      <c r="B48" s="5" t="s">
        <v>38</v>
      </c>
      <c r="C48" s="61">
        <v>181.1</v>
      </c>
      <c r="D48" s="61">
        <v>1318.4</v>
      </c>
      <c r="E48" s="61">
        <v>7543.6</v>
      </c>
      <c r="F48" s="61">
        <v>51.2</v>
      </c>
      <c r="G48" s="61"/>
      <c r="H48" s="64"/>
      <c r="I48" s="61"/>
      <c r="J48" s="61">
        <v>1481.5</v>
      </c>
      <c r="K48" s="61"/>
      <c r="L48" s="61"/>
      <c r="M48" s="61">
        <v>105.8</v>
      </c>
      <c r="N48" s="20"/>
      <c r="O48" s="32" t="s">
        <v>38</v>
      </c>
      <c r="P48" s="33">
        <f t="shared" si="5"/>
        <v>10681.6</v>
      </c>
      <c r="Q48" s="35">
        <f t="shared" si="8"/>
        <v>12176.6</v>
      </c>
      <c r="R48" s="42">
        <f t="shared" si="3"/>
        <v>22858.2</v>
      </c>
      <c r="S48" s="49">
        <v>22858.2</v>
      </c>
      <c r="T48" s="35">
        <f t="shared" si="6"/>
        <v>0</v>
      </c>
    </row>
    <row r="49" spans="1:20" ht="12.75">
      <c r="A49" s="3"/>
      <c r="B49" s="5" t="s">
        <v>39</v>
      </c>
      <c r="C49" s="53">
        <v>2916.9</v>
      </c>
      <c r="D49" s="53">
        <v>955.4</v>
      </c>
      <c r="E49" s="53">
        <v>404.7</v>
      </c>
      <c r="F49" s="53"/>
      <c r="G49" s="53">
        <v>399.9</v>
      </c>
      <c r="H49" s="63"/>
      <c r="I49" s="53"/>
      <c r="J49" s="53"/>
      <c r="K49" s="53"/>
      <c r="L49" s="53"/>
      <c r="M49" s="53">
        <v>18.6</v>
      </c>
      <c r="N49" s="45"/>
      <c r="O49" s="32" t="s">
        <v>39</v>
      </c>
      <c r="P49" s="33">
        <f t="shared" si="5"/>
        <v>4695.5</v>
      </c>
      <c r="Q49" s="35">
        <f t="shared" si="8"/>
        <v>5080.799999999999</v>
      </c>
      <c r="R49" s="42">
        <f t="shared" si="3"/>
        <v>9776.3</v>
      </c>
      <c r="S49" s="49">
        <v>9776.3</v>
      </c>
      <c r="T49" s="35">
        <f t="shared" si="6"/>
        <v>0</v>
      </c>
    </row>
    <row r="50" spans="1:20" ht="12.75">
      <c r="A50" s="3"/>
      <c r="B50" s="5" t="s">
        <v>40</v>
      </c>
      <c r="C50" s="53">
        <v>234.7</v>
      </c>
      <c r="D50" s="53">
        <v>8053</v>
      </c>
      <c r="E50" s="53">
        <v>6867.2</v>
      </c>
      <c r="F50" s="53"/>
      <c r="G50" s="53"/>
      <c r="H50" s="63"/>
      <c r="I50" s="53"/>
      <c r="J50" s="53"/>
      <c r="K50" s="53">
        <v>41.5</v>
      </c>
      <c r="L50" s="53"/>
      <c r="M50" s="53">
        <v>139.6</v>
      </c>
      <c r="N50" s="45"/>
      <c r="O50" s="32" t="s">
        <v>40</v>
      </c>
      <c r="P50" s="33">
        <f t="shared" si="5"/>
        <v>15336.000000000002</v>
      </c>
      <c r="Q50" s="35">
        <f t="shared" si="8"/>
        <v>3010.7999999999997</v>
      </c>
      <c r="R50" s="42">
        <f t="shared" si="3"/>
        <v>18346.800000000003</v>
      </c>
      <c r="S50" s="49">
        <v>18346.8</v>
      </c>
      <c r="T50" s="35">
        <f t="shared" si="6"/>
        <v>0</v>
      </c>
    </row>
    <row r="51" spans="1:20" ht="12.75">
      <c r="A51" s="3"/>
      <c r="B51" s="5" t="s">
        <v>41</v>
      </c>
      <c r="C51" s="53">
        <v>190.6</v>
      </c>
      <c r="D51" s="53">
        <v>9907.5</v>
      </c>
      <c r="E51" s="53">
        <v>654.1</v>
      </c>
      <c r="F51" s="53">
        <v>217.3</v>
      </c>
      <c r="G51" s="53"/>
      <c r="H51" s="63"/>
      <c r="I51" s="53"/>
      <c r="J51" s="53">
        <v>725.5</v>
      </c>
      <c r="K51" s="53"/>
      <c r="L51" s="53"/>
      <c r="M51" s="53">
        <v>200.5</v>
      </c>
      <c r="N51" s="45"/>
      <c r="O51" s="32" t="s">
        <v>41</v>
      </c>
      <c r="P51" s="33">
        <f t="shared" si="5"/>
        <v>11895.5</v>
      </c>
      <c r="Q51" s="35">
        <f t="shared" si="8"/>
        <v>4872.5</v>
      </c>
      <c r="R51" s="42">
        <f t="shared" si="3"/>
        <v>16768</v>
      </c>
      <c r="S51" s="49">
        <v>16768</v>
      </c>
      <c r="T51" s="35">
        <f t="shared" si="6"/>
        <v>0</v>
      </c>
    </row>
    <row r="52" spans="1:20" ht="12.75">
      <c r="A52" s="3"/>
      <c r="B52" s="5" t="s">
        <v>42</v>
      </c>
      <c r="C52" s="53">
        <v>683.9</v>
      </c>
      <c r="D52" s="53">
        <f>2857.9+0.9</f>
        <v>2858.8</v>
      </c>
      <c r="E52" s="53">
        <f>3816.6+0.1</f>
        <v>3816.7</v>
      </c>
      <c r="F52" s="53"/>
      <c r="G52" s="53">
        <v>15.5</v>
      </c>
      <c r="H52" s="63"/>
      <c r="I52" s="53"/>
      <c r="J52" s="53">
        <v>366.2</v>
      </c>
      <c r="K52" s="53"/>
      <c r="L52" s="53"/>
      <c r="M52" s="53">
        <v>92.7</v>
      </c>
      <c r="N52" s="45"/>
      <c r="O52" s="32" t="s">
        <v>42</v>
      </c>
      <c r="P52" s="33">
        <f t="shared" si="5"/>
        <v>7833.799999999999</v>
      </c>
      <c r="Q52" s="35">
        <f t="shared" si="8"/>
        <v>3860.8999999999996</v>
      </c>
      <c r="R52" s="42">
        <f t="shared" si="3"/>
        <v>11694.699999999999</v>
      </c>
      <c r="S52" s="49">
        <v>11694.7</v>
      </c>
      <c r="T52" s="35">
        <f t="shared" si="6"/>
        <v>0</v>
      </c>
    </row>
    <row r="53" spans="1:20" ht="12.75">
      <c r="A53" s="3"/>
      <c r="B53" s="5" t="s">
        <v>43</v>
      </c>
      <c r="C53" s="53">
        <v>344.3</v>
      </c>
      <c r="D53" s="53">
        <v>2564</v>
      </c>
      <c r="E53" s="53">
        <v>1925.6</v>
      </c>
      <c r="F53" s="53">
        <v>292.9</v>
      </c>
      <c r="G53" s="53">
        <v>1033.6</v>
      </c>
      <c r="H53" s="63"/>
      <c r="I53" s="53"/>
      <c r="J53" s="53">
        <v>243</v>
      </c>
      <c r="K53" s="53"/>
      <c r="L53" s="53"/>
      <c r="M53" s="53">
        <v>83.2</v>
      </c>
      <c r="N53" s="45"/>
      <c r="O53" s="32" t="s">
        <v>43</v>
      </c>
      <c r="P53" s="33">
        <f t="shared" si="5"/>
        <v>6486.599999999999</v>
      </c>
      <c r="Q53" s="35">
        <f t="shared" si="8"/>
        <v>1020.2</v>
      </c>
      <c r="R53" s="42">
        <f t="shared" si="3"/>
        <v>7506.799999999999</v>
      </c>
      <c r="S53" s="49">
        <v>7506.8</v>
      </c>
      <c r="T53" s="35">
        <f t="shared" si="6"/>
        <v>0</v>
      </c>
    </row>
    <row r="54" spans="1:20" ht="12.75">
      <c r="A54" s="3"/>
      <c r="B54" s="5" t="s">
        <v>52</v>
      </c>
      <c r="C54" s="53">
        <v>228.2</v>
      </c>
      <c r="D54" s="53">
        <v>1329.3</v>
      </c>
      <c r="E54" s="53">
        <v>2849.4</v>
      </c>
      <c r="F54" s="53">
        <v>41.5</v>
      </c>
      <c r="G54" s="53">
        <v>243.9</v>
      </c>
      <c r="H54" s="55"/>
      <c r="I54" s="53"/>
      <c r="J54" s="53"/>
      <c r="K54" s="53"/>
      <c r="L54" s="53"/>
      <c r="M54" s="53">
        <v>54.4</v>
      </c>
      <c r="N54" s="45"/>
      <c r="O54" s="32" t="s">
        <v>52</v>
      </c>
      <c r="P54" s="33">
        <f t="shared" si="5"/>
        <v>4746.699999999999</v>
      </c>
      <c r="Q54" s="35">
        <f t="shared" si="8"/>
        <v>468.5</v>
      </c>
      <c r="R54" s="42">
        <f t="shared" si="3"/>
        <v>5215.199999999999</v>
      </c>
      <c r="S54" s="49">
        <v>5215.2</v>
      </c>
      <c r="T54" s="35">
        <f t="shared" si="6"/>
        <v>0</v>
      </c>
    </row>
    <row r="55" spans="1:20" ht="12.75">
      <c r="A55" s="3"/>
      <c r="B55" s="5" t="s">
        <v>44</v>
      </c>
      <c r="C55" s="53">
        <v>118.3</v>
      </c>
      <c r="D55" s="53">
        <v>1836.8</v>
      </c>
      <c r="E55" s="53">
        <v>8781.4</v>
      </c>
      <c r="F55" s="53"/>
      <c r="G55" s="53"/>
      <c r="H55" s="53"/>
      <c r="I55" s="53"/>
      <c r="J55" s="53">
        <v>72.4</v>
      </c>
      <c r="K55" s="53"/>
      <c r="L55" s="53"/>
      <c r="M55" s="53">
        <v>102.5</v>
      </c>
      <c r="N55" s="45"/>
      <c r="O55" s="32" t="s">
        <v>44</v>
      </c>
      <c r="P55" s="33">
        <f t="shared" si="5"/>
        <v>10911.4</v>
      </c>
      <c r="Q55" s="35">
        <f t="shared" si="8"/>
        <v>0</v>
      </c>
      <c r="R55" s="42">
        <f t="shared" si="3"/>
        <v>10911.4</v>
      </c>
      <c r="S55" s="49">
        <v>10911.4</v>
      </c>
      <c r="T55" s="35">
        <f t="shared" si="6"/>
        <v>0</v>
      </c>
    </row>
    <row r="56" spans="1:20" ht="12.75">
      <c r="A56" s="3"/>
      <c r="B56" s="5" t="s">
        <v>45</v>
      </c>
      <c r="C56" s="53">
        <v>1531.3</v>
      </c>
      <c r="D56" s="53">
        <v>1033.4</v>
      </c>
      <c r="E56" s="53">
        <v>4633.6</v>
      </c>
      <c r="F56" s="53"/>
      <c r="G56" s="53">
        <v>1474.3</v>
      </c>
      <c r="H56" s="53"/>
      <c r="I56" s="53"/>
      <c r="J56" s="53">
        <v>14.1</v>
      </c>
      <c r="K56" s="53"/>
      <c r="L56" s="53"/>
      <c r="M56" s="53">
        <v>86.1</v>
      </c>
      <c r="N56" s="45"/>
      <c r="O56" s="32" t="s">
        <v>45</v>
      </c>
      <c r="P56" s="33">
        <f t="shared" si="5"/>
        <v>8772.800000000001</v>
      </c>
      <c r="Q56" s="35">
        <f t="shared" si="8"/>
        <v>4145.8</v>
      </c>
      <c r="R56" s="42">
        <f t="shared" si="3"/>
        <v>12918.600000000002</v>
      </c>
      <c r="S56" s="49">
        <v>12918.6</v>
      </c>
      <c r="T56" s="35">
        <f t="shared" si="6"/>
        <v>0</v>
      </c>
    </row>
    <row r="57" spans="1:20" ht="12.75">
      <c r="A57" s="3"/>
      <c r="B57" s="14" t="s">
        <v>50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22"/>
      <c r="O57" s="32"/>
      <c r="P57" s="33">
        <f t="shared" si="5"/>
        <v>0</v>
      </c>
      <c r="Q57" s="35">
        <f t="shared" si="8"/>
        <v>0</v>
      </c>
      <c r="R57" s="42">
        <f t="shared" si="3"/>
        <v>0</v>
      </c>
      <c r="S57" s="49"/>
      <c r="T57" s="48">
        <f>R57-S57</f>
        <v>0</v>
      </c>
    </row>
    <row r="58" spans="1:18" ht="12.75">
      <c r="A58" s="3"/>
      <c r="B58" s="5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P58" s="26">
        <f t="shared" si="5"/>
        <v>0</v>
      </c>
      <c r="R58" s="43">
        <f t="shared" si="3"/>
        <v>0</v>
      </c>
    </row>
    <row r="59" spans="1:14" ht="12.75">
      <c r="A59" s="3"/>
      <c r="B59" s="91" t="s">
        <v>78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29"/>
    </row>
    <row r="60" spans="1:22" ht="15">
      <c r="A60" s="3"/>
      <c r="B60" s="7" t="s">
        <v>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P60" s="27"/>
      <c r="S60" s="27"/>
      <c r="T60" s="1"/>
      <c r="U60" s="1"/>
      <c r="V60" s="1"/>
    </row>
    <row r="61" spans="1:22" ht="18">
      <c r="A61" s="3"/>
      <c r="B61" s="92" t="s">
        <v>46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28"/>
      <c r="P61" s="27"/>
      <c r="S61" s="27"/>
      <c r="T61" s="1"/>
      <c r="U61" s="1"/>
      <c r="V61" s="1"/>
    </row>
    <row r="62" spans="1:22" ht="18">
      <c r="A62" s="3"/>
      <c r="B62" s="92" t="s">
        <v>48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28"/>
      <c r="P62" s="27"/>
      <c r="S62" s="27"/>
      <c r="T62" s="1"/>
      <c r="U62" s="1"/>
      <c r="V62" s="1"/>
    </row>
    <row r="63" spans="1:22" ht="12.75">
      <c r="A63" s="3"/>
      <c r="B63" s="2" t="s">
        <v>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7"/>
      <c r="P63" s="27"/>
      <c r="S63" s="27"/>
      <c r="T63" s="1"/>
      <c r="U63" s="1"/>
      <c r="V63" s="1"/>
    </row>
    <row r="64" spans="1:22" ht="12.75">
      <c r="A64" s="3"/>
      <c r="B64" s="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7"/>
      <c r="P64" s="27"/>
      <c r="S64" s="27"/>
      <c r="T64" s="1"/>
      <c r="U64" s="1"/>
      <c r="V64" s="1"/>
    </row>
    <row r="65" spans="1:22" ht="12.75" customHeight="1">
      <c r="A65" s="3"/>
      <c r="B65" s="68"/>
      <c r="C65" s="103" t="s">
        <v>76</v>
      </c>
      <c r="D65" s="106" t="s">
        <v>63</v>
      </c>
      <c r="E65" s="107"/>
      <c r="F65" s="108"/>
      <c r="G65" s="119" t="s">
        <v>75</v>
      </c>
      <c r="H65" s="81"/>
      <c r="I65" s="82"/>
      <c r="J65" s="110" t="s">
        <v>74</v>
      </c>
      <c r="K65" s="111"/>
      <c r="L65" s="76"/>
      <c r="M65" s="83"/>
      <c r="N65" s="39"/>
      <c r="O65" s="27"/>
      <c r="P65" s="27"/>
      <c r="S65" s="27"/>
      <c r="T65" s="1"/>
      <c r="U65" s="1"/>
      <c r="V65" s="1"/>
    </row>
    <row r="66" spans="1:22" ht="12.75">
      <c r="A66" s="3"/>
      <c r="B66" s="84" t="s">
        <v>11</v>
      </c>
      <c r="C66" s="104"/>
      <c r="D66" s="81" t="s">
        <v>59</v>
      </c>
      <c r="E66" s="101" t="s">
        <v>58</v>
      </c>
      <c r="F66" s="82" t="s">
        <v>57</v>
      </c>
      <c r="G66" s="120"/>
      <c r="H66" s="99" t="s">
        <v>62</v>
      </c>
      <c r="I66" s="100"/>
      <c r="J66" s="85"/>
      <c r="K66" s="86"/>
      <c r="L66" s="97" t="s">
        <v>54</v>
      </c>
      <c r="M66" s="98"/>
      <c r="N66" s="37"/>
      <c r="O66" s="27"/>
      <c r="P66" s="27"/>
      <c r="S66" s="27"/>
      <c r="T66" s="1"/>
      <c r="U66" s="1"/>
      <c r="V66" s="1"/>
    </row>
    <row r="67" spans="1:14" ht="12.75">
      <c r="A67" s="3"/>
      <c r="B67" s="88"/>
      <c r="C67" s="105"/>
      <c r="D67" s="70" t="s">
        <v>60</v>
      </c>
      <c r="E67" s="102"/>
      <c r="F67" s="71" t="s">
        <v>58</v>
      </c>
      <c r="G67" s="121"/>
      <c r="H67" s="70"/>
      <c r="I67" s="71"/>
      <c r="J67" s="87"/>
      <c r="K67" s="78"/>
      <c r="L67" s="89"/>
      <c r="M67" s="90"/>
      <c r="N67" s="39"/>
    </row>
    <row r="68" spans="1:14" ht="12.75">
      <c r="A68" s="3"/>
      <c r="B68" s="6"/>
      <c r="C68" s="17"/>
      <c r="D68" s="38"/>
      <c r="E68" s="38"/>
      <c r="F68" s="38"/>
      <c r="G68" s="17"/>
      <c r="H68" s="17"/>
      <c r="I68" s="17"/>
      <c r="J68" s="17"/>
      <c r="K68" s="17"/>
      <c r="L68" s="17"/>
      <c r="M68" s="17"/>
      <c r="N68" s="38"/>
    </row>
    <row r="69" spans="1:18" ht="12.75">
      <c r="A69" s="4"/>
      <c r="B69" s="13" t="s">
        <v>54</v>
      </c>
      <c r="C69" s="52">
        <f aca="true" t="shared" si="9" ref="C69:L69">SUM(C71+C83)</f>
        <v>236895.2</v>
      </c>
      <c r="D69" s="52">
        <f t="shared" si="9"/>
        <v>162.4</v>
      </c>
      <c r="E69" s="52">
        <f t="shared" si="9"/>
        <v>0</v>
      </c>
      <c r="F69" s="52">
        <f t="shared" si="9"/>
        <v>180712.69999999998</v>
      </c>
      <c r="G69" s="52">
        <f t="shared" si="9"/>
        <v>1857445.2</v>
      </c>
      <c r="H69" s="52">
        <f t="shared" si="9"/>
        <v>0</v>
      </c>
      <c r="I69" s="52">
        <f t="shared" si="9"/>
        <v>0</v>
      </c>
      <c r="J69" s="52">
        <f t="shared" si="9"/>
        <v>0</v>
      </c>
      <c r="K69" s="52">
        <f t="shared" si="9"/>
        <v>224.99999999999997</v>
      </c>
      <c r="L69" s="52">
        <f t="shared" si="9"/>
        <v>0</v>
      </c>
      <c r="M69" s="52">
        <f>P69</f>
        <v>2972400.6</v>
      </c>
      <c r="N69" s="46">
        <f aca="true" t="shared" si="10" ref="N69:N81">SUM(C11:M11)</f>
        <v>696960.1</v>
      </c>
      <c r="O69" s="35">
        <f>SUM(C69:K69)</f>
        <v>2275440.5</v>
      </c>
      <c r="P69" s="35">
        <f>N69+O69</f>
        <v>2972400.6</v>
      </c>
      <c r="Q69" s="35">
        <f>M69-P69</f>
        <v>0</v>
      </c>
      <c r="R69" s="35">
        <f aca="true" t="shared" si="11" ref="R69:R115">SUM(C69:K69)</f>
        <v>2275440.5</v>
      </c>
    </row>
    <row r="70" spans="1:18" ht="12.75">
      <c r="A70" s="4"/>
      <c r="B70" s="5" t="s">
        <v>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2">
        <f aca="true" t="shared" si="12" ref="M70:M114">P70</f>
        <v>0</v>
      </c>
      <c r="N70" s="46">
        <f t="shared" si="10"/>
        <v>0</v>
      </c>
      <c r="O70" s="35">
        <f aca="true" t="shared" si="13" ref="O70:O114">SUM(C70:K70)</f>
        <v>0</v>
      </c>
      <c r="P70" s="35">
        <f aca="true" t="shared" si="14" ref="P70:P114">N70+O70</f>
        <v>0</v>
      </c>
      <c r="Q70" s="35">
        <f aca="true" t="shared" si="15" ref="Q70:Q114">M70-P70</f>
        <v>0</v>
      </c>
      <c r="R70" s="35">
        <f t="shared" si="11"/>
        <v>0</v>
      </c>
    </row>
    <row r="71" spans="1:19" s="11" customFormat="1" ht="12.75">
      <c r="A71" s="10"/>
      <c r="B71" s="13" t="s">
        <v>12</v>
      </c>
      <c r="C71" s="52">
        <f aca="true" t="shared" si="16" ref="C71:L71">SUM(C74:C81)</f>
        <v>105420.40000000001</v>
      </c>
      <c r="D71" s="52">
        <f t="shared" si="16"/>
        <v>0</v>
      </c>
      <c r="E71" s="52">
        <f t="shared" si="16"/>
        <v>0</v>
      </c>
      <c r="F71" s="52">
        <f t="shared" si="16"/>
        <v>152652</v>
      </c>
      <c r="G71" s="52">
        <f t="shared" si="16"/>
        <v>1848333.8</v>
      </c>
      <c r="H71" s="52">
        <f t="shared" si="16"/>
        <v>0</v>
      </c>
      <c r="I71" s="52">
        <f t="shared" si="16"/>
        <v>0</v>
      </c>
      <c r="J71" s="52">
        <f t="shared" si="16"/>
        <v>0</v>
      </c>
      <c r="K71" s="52">
        <f t="shared" si="16"/>
        <v>223.99999999999997</v>
      </c>
      <c r="L71" s="52">
        <f t="shared" si="16"/>
        <v>0</v>
      </c>
      <c r="M71" s="52">
        <f t="shared" si="12"/>
        <v>2567564.6</v>
      </c>
      <c r="N71" s="46">
        <f t="shared" si="10"/>
        <v>460934.39999999997</v>
      </c>
      <c r="O71" s="35">
        <f t="shared" si="13"/>
        <v>2106630.2</v>
      </c>
      <c r="P71" s="35">
        <f t="shared" si="14"/>
        <v>2567564.6</v>
      </c>
      <c r="Q71" s="35">
        <f t="shared" si="15"/>
        <v>0</v>
      </c>
      <c r="R71" s="35">
        <f t="shared" si="11"/>
        <v>2106630.2</v>
      </c>
      <c r="S71" s="26"/>
    </row>
    <row r="72" spans="1:18" ht="12.75">
      <c r="A72" s="4"/>
      <c r="B72" s="5" t="s">
        <v>0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2">
        <f t="shared" si="12"/>
        <v>0</v>
      </c>
      <c r="N72" s="46">
        <f t="shared" si="10"/>
        <v>0</v>
      </c>
      <c r="O72" s="35">
        <f t="shared" si="13"/>
        <v>0</v>
      </c>
      <c r="P72" s="35">
        <f t="shared" si="14"/>
        <v>0</v>
      </c>
      <c r="Q72" s="35">
        <f t="shared" si="15"/>
        <v>0</v>
      </c>
      <c r="R72" s="35">
        <f t="shared" si="11"/>
        <v>0</v>
      </c>
    </row>
    <row r="73" spans="1:18" ht="12.75">
      <c r="A73" s="4"/>
      <c r="B73" s="5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2">
        <f t="shared" si="12"/>
        <v>0</v>
      </c>
      <c r="N73" s="46">
        <f t="shared" si="10"/>
        <v>0</v>
      </c>
      <c r="O73" s="35">
        <f t="shared" si="13"/>
        <v>0</v>
      </c>
      <c r="P73" s="35">
        <f t="shared" si="14"/>
        <v>0</v>
      </c>
      <c r="Q73" s="35">
        <f t="shared" si="15"/>
        <v>0</v>
      </c>
      <c r="R73" s="35">
        <f t="shared" si="11"/>
        <v>0</v>
      </c>
    </row>
    <row r="74" spans="1:18" ht="12.75">
      <c r="A74" s="4"/>
      <c r="B74" s="47" t="s">
        <v>53</v>
      </c>
      <c r="C74" s="54">
        <f>301.2+311+1080.5+72.6+358.2+19.9+160.5+4.4+102601.8</f>
        <v>104910.1</v>
      </c>
      <c r="D74" s="54"/>
      <c r="E74" s="54"/>
      <c r="F74" s="54">
        <f>7615.2+65220.7</f>
        <v>72835.9</v>
      </c>
      <c r="G74" s="55">
        <f>1826910.3+16272.1</f>
        <v>1843182.4000000001</v>
      </c>
      <c r="H74" s="56"/>
      <c r="I74" s="54"/>
      <c r="J74" s="54"/>
      <c r="K74" s="55">
        <f>150.7+9.2</f>
        <v>159.89999999999998</v>
      </c>
      <c r="L74" s="57"/>
      <c r="M74" s="53">
        <f t="shared" si="12"/>
        <v>2263540</v>
      </c>
      <c r="N74" s="46">
        <f t="shared" si="10"/>
        <v>242451.69999999998</v>
      </c>
      <c r="O74" s="35">
        <f t="shared" si="13"/>
        <v>2021088.3</v>
      </c>
      <c r="P74" s="35">
        <f t="shared" si="14"/>
        <v>2263540</v>
      </c>
      <c r="Q74" s="35">
        <f t="shared" si="15"/>
        <v>0</v>
      </c>
      <c r="R74" s="35">
        <f t="shared" si="11"/>
        <v>2021088.3</v>
      </c>
    </row>
    <row r="75" spans="1:18" ht="12.75">
      <c r="A75" s="4"/>
      <c r="B75" s="47" t="s">
        <v>13</v>
      </c>
      <c r="C75" s="54"/>
      <c r="D75" s="54"/>
      <c r="E75" s="54"/>
      <c r="F75" s="54">
        <f>465.2+5661.6</f>
        <v>6126.8</v>
      </c>
      <c r="G75" s="54"/>
      <c r="H75" s="54"/>
      <c r="I75" s="54"/>
      <c r="J75" s="54"/>
      <c r="K75" s="54">
        <v>8</v>
      </c>
      <c r="L75" s="54"/>
      <c r="M75" s="53">
        <f t="shared" si="12"/>
        <v>10923.199999999999</v>
      </c>
      <c r="N75" s="46">
        <f t="shared" si="10"/>
        <v>4788.399999999999</v>
      </c>
      <c r="O75" s="35">
        <f t="shared" si="13"/>
        <v>6134.8</v>
      </c>
      <c r="P75" s="35">
        <f t="shared" si="14"/>
        <v>10923.199999999999</v>
      </c>
      <c r="Q75" s="35">
        <f t="shared" si="15"/>
        <v>0</v>
      </c>
      <c r="R75" s="35">
        <f t="shared" si="11"/>
        <v>6134.8</v>
      </c>
    </row>
    <row r="76" spans="1:18" ht="12.75">
      <c r="A76" s="4"/>
      <c r="B76" s="47" t="s">
        <v>14</v>
      </c>
      <c r="C76" s="54">
        <f>3.6+0.2+2.2</f>
        <v>6</v>
      </c>
      <c r="D76" s="54"/>
      <c r="E76" s="54"/>
      <c r="F76" s="54">
        <v>15347</v>
      </c>
      <c r="G76" s="54">
        <v>5151.4</v>
      </c>
      <c r="H76" s="54"/>
      <c r="I76" s="54"/>
      <c r="J76" s="54"/>
      <c r="K76" s="54"/>
      <c r="L76" s="54"/>
      <c r="M76" s="53">
        <f t="shared" si="12"/>
        <v>29746.000000000004</v>
      </c>
      <c r="N76" s="46">
        <f t="shared" si="10"/>
        <v>9241.600000000002</v>
      </c>
      <c r="O76" s="35">
        <f t="shared" si="13"/>
        <v>20504.4</v>
      </c>
      <c r="P76" s="35">
        <f t="shared" si="14"/>
        <v>29746.000000000004</v>
      </c>
      <c r="Q76" s="35">
        <f t="shared" si="15"/>
        <v>0</v>
      </c>
      <c r="R76" s="35">
        <f t="shared" si="11"/>
        <v>20504.4</v>
      </c>
    </row>
    <row r="77" spans="1:18" ht="12.75">
      <c r="A77" s="4"/>
      <c r="B77" s="47" t="s">
        <v>15</v>
      </c>
      <c r="C77" s="58"/>
      <c r="D77" s="58"/>
      <c r="E77" s="58"/>
      <c r="F77" s="58">
        <v>5732.6</v>
      </c>
      <c r="G77" s="58"/>
      <c r="H77" s="58"/>
      <c r="I77" s="58"/>
      <c r="J77" s="58"/>
      <c r="K77" s="58"/>
      <c r="L77" s="58"/>
      <c r="M77" s="53">
        <f t="shared" si="12"/>
        <v>25306.300000000003</v>
      </c>
      <c r="N77" s="46">
        <f t="shared" si="10"/>
        <v>19573.7</v>
      </c>
      <c r="O77" s="35">
        <f t="shared" si="13"/>
        <v>5732.6</v>
      </c>
      <c r="P77" s="35">
        <f t="shared" si="14"/>
        <v>25306.300000000003</v>
      </c>
      <c r="Q77" s="35">
        <f t="shared" si="15"/>
        <v>0</v>
      </c>
      <c r="R77" s="35">
        <f t="shared" si="11"/>
        <v>5732.6</v>
      </c>
    </row>
    <row r="78" spans="1:18" ht="12.75">
      <c r="A78" s="3"/>
      <c r="B78" s="47" t="s">
        <v>9</v>
      </c>
      <c r="C78" s="54">
        <f>35.6+54.8+228.9</f>
        <v>319.3</v>
      </c>
      <c r="D78" s="54"/>
      <c r="E78" s="54"/>
      <c r="F78" s="54">
        <f>423.1+44173.6</f>
        <v>44596.7</v>
      </c>
      <c r="G78" s="54"/>
      <c r="H78" s="54"/>
      <c r="I78" s="54"/>
      <c r="J78" s="54"/>
      <c r="K78" s="54">
        <v>14.2</v>
      </c>
      <c r="L78" s="54"/>
      <c r="M78" s="53">
        <f>P78</f>
        <v>119304.1</v>
      </c>
      <c r="N78" s="46">
        <f t="shared" si="10"/>
        <v>74373.90000000001</v>
      </c>
      <c r="O78" s="35">
        <f>SUM(C78:K78)</f>
        <v>44930.2</v>
      </c>
      <c r="P78" s="35">
        <f>N78+O78</f>
        <v>119304.1</v>
      </c>
      <c r="Q78" s="35">
        <f>M78-P78</f>
        <v>0</v>
      </c>
      <c r="R78" s="35">
        <f>SUM(C78:K78)</f>
        <v>44930.2</v>
      </c>
    </row>
    <row r="79" spans="1:18" ht="12.75">
      <c r="A79" s="4"/>
      <c r="B79" s="47" t="s">
        <v>70</v>
      </c>
      <c r="C79" s="58">
        <f>11.5+123+11.1+26.9+12.5</f>
        <v>185</v>
      </c>
      <c r="D79" s="58"/>
      <c r="E79" s="58"/>
      <c r="F79" s="58">
        <f>734.5+2124.9</f>
        <v>2859.4</v>
      </c>
      <c r="G79" s="58"/>
      <c r="H79" s="58"/>
      <c r="I79" s="58"/>
      <c r="J79" s="58"/>
      <c r="K79" s="58">
        <v>13.4</v>
      </c>
      <c r="L79" s="58"/>
      <c r="M79" s="53">
        <f t="shared" si="12"/>
        <v>22235.699999999997</v>
      </c>
      <c r="N79" s="46">
        <f t="shared" si="10"/>
        <v>19177.899999999998</v>
      </c>
      <c r="O79" s="35">
        <f t="shared" si="13"/>
        <v>3057.8</v>
      </c>
      <c r="P79" s="35">
        <f t="shared" si="14"/>
        <v>22235.699999999997</v>
      </c>
      <c r="Q79" s="35">
        <f t="shared" si="15"/>
        <v>0</v>
      </c>
      <c r="R79" s="35">
        <f t="shared" si="11"/>
        <v>3057.8</v>
      </c>
    </row>
    <row r="80" spans="1:18" ht="12.75">
      <c r="A80" s="4"/>
      <c r="B80" s="47" t="s">
        <v>56</v>
      </c>
      <c r="C80" s="54"/>
      <c r="D80" s="54"/>
      <c r="E80" s="54"/>
      <c r="F80" s="54">
        <v>2083.9</v>
      </c>
      <c r="G80" s="54"/>
      <c r="H80" s="54"/>
      <c r="I80" s="54"/>
      <c r="J80" s="54"/>
      <c r="K80" s="54"/>
      <c r="L80" s="54"/>
      <c r="M80" s="53">
        <f t="shared" si="12"/>
        <v>73189.59999999999</v>
      </c>
      <c r="N80" s="46">
        <f t="shared" si="10"/>
        <v>71105.7</v>
      </c>
      <c r="O80" s="35">
        <f t="shared" si="13"/>
        <v>2083.9</v>
      </c>
      <c r="P80" s="35">
        <f t="shared" si="14"/>
        <v>73189.59999999999</v>
      </c>
      <c r="Q80" s="35">
        <f t="shared" si="15"/>
        <v>0</v>
      </c>
      <c r="R80" s="35">
        <f t="shared" si="11"/>
        <v>2083.9</v>
      </c>
    </row>
    <row r="81" spans="1:18" ht="12.75">
      <c r="A81" s="4"/>
      <c r="B81" s="47" t="s">
        <v>51</v>
      </c>
      <c r="C81" s="54"/>
      <c r="D81" s="54"/>
      <c r="E81" s="54"/>
      <c r="F81" s="54">
        <f>81.3+2988.4</f>
        <v>3069.7000000000003</v>
      </c>
      <c r="G81" s="54"/>
      <c r="H81" s="54"/>
      <c r="I81" s="54"/>
      <c r="J81" s="54"/>
      <c r="K81" s="54">
        <v>28.5</v>
      </c>
      <c r="L81" s="54"/>
      <c r="M81" s="53">
        <f t="shared" si="12"/>
        <v>23319.7</v>
      </c>
      <c r="N81" s="46">
        <f t="shared" si="10"/>
        <v>20221.5</v>
      </c>
      <c r="O81" s="35">
        <f t="shared" si="13"/>
        <v>3098.2000000000003</v>
      </c>
      <c r="P81" s="35">
        <f t="shared" si="14"/>
        <v>23319.7</v>
      </c>
      <c r="Q81" s="35">
        <f t="shared" si="15"/>
        <v>0</v>
      </c>
      <c r="R81" s="35">
        <f t="shared" si="11"/>
        <v>3098.2000000000003</v>
      </c>
    </row>
    <row r="82" spans="1:18" ht="12.75">
      <c r="A82" s="4"/>
      <c r="B82" s="5" t="s">
        <v>0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2">
        <f t="shared" si="12"/>
        <v>0</v>
      </c>
      <c r="N82" s="46">
        <f aca="true" t="shared" si="17" ref="N82:N114">SUM(C24:M24)</f>
        <v>0</v>
      </c>
      <c r="O82" s="35">
        <f t="shared" si="13"/>
        <v>0</v>
      </c>
      <c r="P82" s="35">
        <f t="shared" si="14"/>
        <v>0</v>
      </c>
      <c r="Q82" s="35">
        <f t="shared" si="15"/>
        <v>0</v>
      </c>
      <c r="R82" s="35">
        <f t="shared" si="11"/>
        <v>0</v>
      </c>
    </row>
    <row r="83" spans="1:19" s="11" customFormat="1" ht="12.75">
      <c r="A83" s="10"/>
      <c r="B83" s="13" t="s">
        <v>16</v>
      </c>
      <c r="C83" s="59">
        <f>SUM(C85:C114)</f>
        <v>131474.80000000002</v>
      </c>
      <c r="D83" s="59">
        <f aca="true" t="shared" si="18" ref="D83:L83">SUM(D85:D114)</f>
        <v>162.4</v>
      </c>
      <c r="E83" s="59">
        <f t="shared" si="18"/>
        <v>0</v>
      </c>
      <c r="F83" s="59">
        <f t="shared" si="18"/>
        <v>28060.699999999993</v>
      </c>
      <c r="G83" s="59">
        <f t="shared" si="18"/>
        <v>9111.4</v>
      </c>
      <c r="H83" s="59">
        <f t="shared" si="18"/>
        <v>0</v>
      </c>
      <c r="I83" s="59">
        <f t="shared" si="18"/>
        <v>0</v>
      </c>
      <c r="J83" s="59">
        <f t="shared" si="18"/>
        <v>0</v>
      </c>
      <c r="K83" s="59">
        <f t="shared" si="18"/>
        <v>1</v>
      </c>
      <c r="L83" s="59">
        <f t="shared" si="18"/>
        <v>0</v>
      </c>
      <c r="M83" s="52">
        <f t="shared" si="12"/>
        <v>404836</v>
      </c>
      <c r="N83" s="46">
        <f t="shared" si="17"/>
        <v>236025.69999999998</v>
      </c>
      <c r="O83" s="35">
        <f t="shared" si="13"/>
        <v>168810.3</v>
      </c>
      <c r="P83" s="35">
        <f t="shared" si="14"/>
        <v>404836</v>
      </c>
      <c r="Q83" s="35">
        <f t="shared" si="15"/>
        <v>0</v>
      </c>
      <c r="R83" s="35">
        <f t="shared" si="11"/>
        <v>168810.3</v>
      </c>
      <c r="S83" s="26"/>
    </row>
    <row r="84" spans="1:18" ht="12.75">
      <c r="A84" s="4"/>
      <c r="B84" s="5" t="s">
        <v>0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3">
        <f t="shared" si="12"/>
        <v>0</v>
      </c>
      <c r="N84" s="46">
        <f t="shared" si="17"/>
        <v>0</v>
      </c>
      <c r="O84" s="35">
        <f t="shared" si="13"/>
        <v>0</v>
      </c>
      <c r="P84" s="35">
        <f t="shared" si="14"/>
        <v>0</v>
      </c>
      <c r="Q84" s="35">
        <f t="shared" si="15"/>
        <v>0</v>
      </c>
      <c r="R84" s="35">
        <f t="shared" si="11"/>
        <v>0</v>
      </c>
    </row>
    <row r="85" spans="1:18" ht="12.75">
      <c r="A85" s="4"/>
      <c r="B85" s="5" t="s">
        <v>17</v>
      </c>
      <c r="C85" s="54">
        <f>483.6+5.8+121.7+123.9+3462.4+543.9</f>
        <v>4741.299999999999</v>
      </c>
      <c r="D85" s="54"/>
      <c r="E85" s="54"/>
      <c r="F85" s="54">
        <v>7504.1</v>
      </c>
      <c r="G85" s="54">
        <v>695.5</v>
      </c>
      <c r="H85" s="54"/>
      <c r="I85" s="54"/>
      <c r="J85" s="54"/>
      <c r="K85" s="54"/>
      <c r="L85" s="54"/>
      <c r="M85" s="53">
        <f t="shared" si="12"/>
        <v>19960.6</v>
      </c>
      <c r="N85" s="46">
        <f t="shared" si="17"/>
        <v>7019.699999999999</v>
      </c>
      <c r="O85" s="35">
        <f t="shared" si="13"/>
        <v>12940.9</v>
      </c>
      <c r="P85" s="35">
        <f t="shared" si="14"/>
        <v>19960.6</v>
      </c>
      <c r="Q85" s="35">
        <f t="shared" si="15"/>
        <v>0</v>
      </c>
      <c r="R85" s="35">
        <f t="shared" si="11"/>
        <v>12940.9</v>
      </c>
    </row>
    <row r="86" spans="1:18" ht="12.75">
      <c r="A86" s="4"/>
      <c r="B86" s="5" t="s">
        <v>18</v>
      </c>
      <c r="C86" s="54">
        <f>10.3+1236</f>
        <v>1246.3</v>
      </c>
      <c r="D86" s="54"/>
      <c r="E86" s="54"/>
      <c r="F86" s="54">
        <v>1265.8</v>
      </c>
      <c r="G86" s="54">
        <v>19.3</v>
      </c>
      <c r="H86" s="54"/>
      <c r="I86" s="54"/>
      <c r="J86" s="54"/>
      <c r="K86" s="54"/>
      <c r="L86" s="54"/>
      <c r="M86" s="53">
        <f t="shared" si="12"/>
        <v>13782.8</v>
      </c>
      <c r="N86" s="46">
        <f t="shared" si="17"/>
        <v>11251.4</v>
      </c>
      <c r="O86" s="35">
        <f t="shared" si="13"/>
        <v>2531.4</v>
      </c>
      <c r="P86" s="35">
        <f t="shared" si="14"/>
        <v>13782.8</v>
      </c>
      <c r="Q86" s="35">
        <f t="shared" si="15"/>
        <v>0</v>
      </c>
      <c r="R86" s="35">
        <f t="shared" si="11"/>
        <v>2531.4</v>
      </c>
    </row>
    <row r="87" spans="1:18" ht="12.75">
      <c r="A87" s="4"/>
      <c r="B87" s="5" t="s">
        <v>19</v>
      </c>
      <c r="C87" s="54">
        <v>6032.3</v>
      </c>
      <c r="D87" s="54"/>
      <c r="E87" s="54"/>
      <c r="F87" s="54">
        <v>38.8</v>
      </c>
      <c r="G87" s="54">
        <v>12.9</v>
      </c>
      <c r="H87" s="54"/>
      <c r="I87" s="54"/>
      <c r="J87" s="54"/>
      <c r="K87" s="54"/>
      <c r="L87" s="54"/>
      <c r="M87" s="53">
        <f t="shared" si="12"/>
        <v>26568.699999999997</v>
      </c>
      <c r="N87" s="46">
        <f t="shared" si="17"/>
        <v>20484.699999999997</v>
      </c>
      <c r="O87" s="35">
        <f t="shared" si="13"/>
        <v>6084</v>
      </c>
      <c r="P87" s="35">
        <f t="shared" si="14"/>
        <v>26568.699999999997</v>
      </c>
      <c r="Q87" s="35">
        <f t="shared" si="15"/>
        <v>0</v>
      </c>
      <c r="R87" s="35">
        <f t="shared" si="11"/>
        <v>6084</v>
      </c>
    </row>
    <row r="88" spans="1:18" ht="12.75">
      <c r="A88" s="4"/>
      <c r="B88" s="5" t="s">
        <v>20</v>
      </c>
      <c r="C88" s="54"/>
      <c r="D88" s="54"/>
      <c r="E88" s="54"/>
      <c r="F88" s="54"/>
      <c r="G88" s="54">
        <v>49.7</v>
      </c>
      <c r="H88" s="54"/>
      <c r="I88" s="54"/>
      <c r="J88" s="54"/>
      <c r="K88" s="54"/>
      <c r="L88" s="54"/>
      <c r="M88" s="53">
        <f t="shared" si="12"/>
        <v>6772.799999999999</v>
      </c>
      <c r="N88" s="46">
        <f t="shared" si="17"/>
        <v>6723.099999999999</v>
      </c>
      <c r="O88" s="35">
        <f t="shared" si="13"/>
        <v>49.7</v>
      </c>
      <c r="P88" s="35">
        <f t="shared" si="14"/>
        <v>6772.799999999999</v>
      </c>
      <c r="Q88" s="35">
        <f t="shared" si="15"/>
        <v>0</v>
      </c>
      <c r="R88" s="35">
        <f t="shared" si="11"/>
        <v>49.7</v>
      </c>
    </row>
    <row r="89" spans="1:18" ht="12.75">
      <c r="A89" s="4"/>
      <c r="B89" s="5" t="s">
        <v>21</v>
      </c>
      <c r="C89" s="54">
        <f>5474.8+39.4</f>
        <v>5514.2</v>
      </c>
      <c r="D89" s="54"/>
      <c r="E89" s="54"/>
      <c r="F89" s="54">
        <v>1226.8</v>
      </c>
      <c r="G89" s="54">
        <v>41.3</v>
      </c>
      <c r="H89" s="54"/>
      <c r="I89" s="54"/>
      <c r="J89" s="54"/>
      <c r="K89" s="54"/>
      <c r="L89" s="54"/>
      <c r="M89" s="53">
        <f t="shared" si="12"/>
        <v>15194.5</v>
      </c>
      <c r="N89" s="46">
        <f t="shared" si="17"/>
        <v>8412.199999999999</v>
      </c>
      <c r="O89" s="35">
        <f t="shared" si="13"/>
        <v>6782.3</v>
      </c>
      <c r="P89" s="35">
        <f t="shared" si="14"/>
        <v>15194.5</v>
      </c>
      <c r="Q89" s="35">
        <f t="shared" si="15"/>
        <v>0</v>
      </c>
      <c r="R89" s="35">
        <f t="shared" si="11"/>
        <v>6782.3</v>
      </c>
    </row>
    <row r="90" spans="1:18" ht="12.75">
      <c r="A90" s="4"/>
      <c r="B90" s="5" t="s">
        <v>22</v>
      </c>
      <c r="C90" s="54">
        <f>650.4+2835.9+401.7</f>
        <v>3888</v>
      </c>
      <c r="D90" s="54"/>
      <c r="E90" s="54"/>
      <c r="F90" s="54">
        <v>193.8</v>
      </c>
      <c r="G90" s="54">
        <v>204</v>
      </c>
      <c r="H90" s="54"/>
      <c r="I90" s="54"/>
      <c r="J90" s="54"/>
      <c r="K90" s="54"/>
      <c r="L90" s="54"/>
      <c r="M90" s="53">
        <f t="shared" si="12"/>
        <v>14578.5</v>
      </c>
      <c r="N90" s="46">
        <f t="shared" si="17"/>
        <v>10292.699999999999</v>
      </c>
      <c r="O90" s="35">
        <f t="shared" si="13"/>
        <v>4285.8</v>
      </c>
      <c r="P90" s="35">
        <f t="shared" si="14"/>
        <v>14578.5</v>
      </c>
      <c r="Q90" s="35">
        <f t="shared" si="15"/>
        <v>0</v>
      </c>
      <c r="R90" s="35">
        <f t="shared" si="11"/>
        <v>4285.8</v>
      </c>
    </row>
    <row r="91" spans="1:18" ht="12.75">
      <c r="A91" s="4"/>
      <c r="B91" s="5" t="s">
        <v>23</v>
      </c>
      <c r="C91" s="54">
        <f>6735.5+2874.2</f>
        <v>9609.7</v>
      </c>
      <c r="D91" s="54"/>
      <c r="E91" s="54"/>
      <c r="F91" s="54">
        <v>15.9</v>
      </c>
      <c r="G91" s="54">
        <v>635.4</v>
      </c>
      <c r="H91" s="54"/>
      <c r="I91" s="54"/>
      <c r="J91" s="54"/>
      <c r="K91" s="54"/>
      <c r="L91" s="54"/>
      <c r="M91" s="53">
        <f t="shared" si="12"/>
        <v>21296</v>
      </c>
      <c r="N91" s="46">
        <f t="shared" si="17"/>
        <v>11035</v>
      </c>
      <c r="O91" s="35">
        <f t="shared" si="13"/>
        <v>10261</v>
      </c>
      <c r="P91" s="35">
        <f t="shared" si="14"/>
        <v>21296</v>
      </c>
      <c r="Q91" s="35">
        <f t="shared" si="15"/>
        <v>0</v>
      </c>
      <c r="R91" s="35">
        <f t="shared" si="11"/>
        <v>10261</v>
      </c>
    </row>
    <row r="92" spans="1:18" ht="12.75">
      <c r="A92" s="4"/>
      <c r="B92" s="5" t="s">
        <v>24</v>
      </c>
      <c r="C92" s="54">
        <f>756.6+1254.3+584.7</f>
        <v>2595.6000000000004</v>
      </c>
      <c r="D92" s="54"/>
      <c r="E92" s="54"/>
      <c r="F92" s="54">
        <v>28.7</v>
      </c>
      <c r="G92" s="54">
        <v>370.5</v>
      </c>
      <c r="H92" s="54"/>
      <c r="I92" s="54"/>
      <c r="J92" s="54"/>
      <c r="K92" s="54"/>
      <c r="L92" s="54"/>
      <c r="M92" s="53">
        <f t="shared" si="12"/>
        <v>16517</v>
      </c>
      <c r="N92" s="46">
        <f t="shared" si="17"/>
        <v>13522.2</v>
      </c>
      <c r="O92" s="35">
        <f t="shared" si="13"/>
        <v>2994.8</v>
      </c>
      <c r="P92" s="35">
        <f t="shared" si="14"/>
        <v>16517</v>
      </c>
      <c r="Q92" s="35">
        <f t="shared" si="15"/>
        <v>0</v>
      </c>
      <c r="R92" s="35">
        <f t="shared" si="11"/>
        <v>2994.8</v>
      </c>
    </row>
    <row r="93" spans="1:18" ht="12.75">
      <c r="A93" s="4"/>
      <c r="B93" s="5" t="s">
        <v>25</v>
      </c>
      <c r="C93" s="54">
        <f>203.5+1775+402.4+354.6+706.4</f>
        <v>3441.9</v>
      </c>
      <c r="D93" s="54"/>
      <c r="E93" s="54"/>
      <c r="F93" s="54">
        <v>58.4</v>
      </c>
      <c r="G93" s="54"/>
      <c r="H93" s="54"/>
      <c r="I93" s="55"/>
      <c r="J93" s="54"/>
      <c r="K93" s="54"/>
      <c r="L93" s="54"/>
      <c r="M93" s="53">
        <f t="shared" si="12"/>
        <v>11205</v>
      </c>
      <c r="N93" s="46">
        <f t="shared" si="17"/>
        <v>7704.700000000001</v>
      </c>
      <c r="O93" s="35">
        <f t="shared" si="13"/>
        <v>3500.3</v>
      </c>
      <c r="P93" s="35">
        <f t="shared" si="14"/>
        <v>11205</v>
      </c>
      <c r="Q93" s="35">
        <f t="shared" si="15"/>
        <v>0</v>
      </c>
      <c r="R93" s="35">
        <f t="shared" si="11"/>
        <v>3500.3</v>
      </c>
    </row>
    <row r="94" spans="1:18" ht="12.75">
      <c r="A94" s="4"/>
      <c r="B94" s="5" t="s">
        <v>26</v>
      </c>
      <c r="C94" s="54">
        <f>9668.3+1167.2</f>
        <v>10835.5</v>
      </c>
      <c r="D94" s="54"/>
      <c r="E94" s="54"/>
      <c r="F94" s="54">
        <v>506.3</v>
      </c>
      <c r="G94" s="54"/>
      <c r="H94" s="54"/>
      <c r="I94" s="58"/>
      <c r="J94" s="54"/>
      <c r="K94" s="54"/>
      <c r="L94" s="54"/>
      <c r="M94" s="53">
        <f t="shared" si="12"/>
        <v>14944.199999999999</v>
      </c>
      <c r="N94" s="46">
        <f t="shared" si="17"/>
        <v>3602.4</v>
      </c>
      <c r="O94" s="35">
        <f t="shared" si="13"/>
        <v>11341.8</v>
      </c>
      <c r="P94" s="35">
        <f t="shared" si="14"/>
        <v>14944.199999999999</v>
      </c>
      <c r="Q94" s="35">
        <f t="shared" si="15"/>
        <v>0</v>
      </c>
      <c r="R94" s="35">
        <f t="shared" si="11"/>
        <v>11341.8</v>
      </c>
    </row>
    <row r="95" spans="1:18" ht="12.75">
      <c r="A95" s="4"/>
      <c r="B95" s="5" t="s">
        <v>27</v>
      </c>
      <c r="C95" s="54">
        <f>1233.6+532.2+1931.5+4372.7+9453.9</f>
        <v>17523.9</v>
      </c>
      <c r="D95" s="54"/>
      <c r="E95" s="54"/>
      <c r="F95" s="54">
        <v>72.1</v>
      </c>
      <c r="G95" s="54">
        <v>106.6</v>
      </c>
      <c r="H95" s="54"/>
      <c r="I95" s="58"/>
      <c r="J95" s="54"/>
      <c r="K95" s="54"/>
      <c r="L95" s="54"/>
      <c r="M95" s="53">
        <f t="shared" si="12"/>
        <v>18373.3</v>
      </c>
      <c r="N95" s="46">
        <f t="shared" si="17"/>
        <v>670.7</v>
      </c>
      <c r="O95" s="35">
        <f t="shared" si="13"/>
        <v>17702.6</v>
      </c>
      <c r="P95" s="35">
        <f t="shared" si="14"/>
        <v>18373.3</v>
      </c>
      <c r="Q95" s="35">
        <f t="shared" si="15"/>
        <v>0</v>
      </c>
      <c r="R95" s="35">
        <f t="shared" si="11"/>
        <v>17702.6</v>
      </c>
    </row>
    <row r="96" spans="1:18" ht="12.75">
      <c r="A96" s="4"/>
      <c r="B96" s="5" t="s">
        <v>28</v>
      </c>
      <c r="C96" s="54">
        <v>46.4</v>
      </c>
      <c r="D96" s="54"/>
      <c r="E96" s="54"/>
      <c r="F96" s="54">
        <v>462.3</v>
      </c>
      <c r="G96" s="54"/>
      <c r="H96" s="54"/>
      <c r="I96" s="58"/>
      <c r="J96" s="54"/>
      <c r="K96" s="54">
        <v>1</v>
      </c>
      <c r="L96" s="54"/>
      <c r="M96" s="53">
        <f t="shared" si="12"/>
        <v>2230.9</v>
      </c>
      <c r="N96" s="46">
        <f t="shared" si="17"/>
        <v>1721.2000000000003</v>
      </c>
      <c r="O96" s="35">
        <f t="shared" si="13"/>
        <v>509.7</v>
      </c>
      <c r="P96" s="35">
        <f t="shared" si="14"/>
        <v>2230.9</v>
      </c>
      <c r="Q96" s="35">
        <f t="shared" si="15"/>
        <v>0</v>
      </c>
      <c r="R96" s="35">
        <f t="shared" si="11"/>
        <v>509.7</v>
      </c>
    </row>
    <row r="97" spans="1:18" ht="12.75">
      <c r="A97" s="4"/>
      <c r="B97" s="5" t="s">
        <v>29</v>
      </c>
      <c r="C97" s="54">
        <f>492.6+6199.9+86.8+1136.3</f>
        <v>7915.6</v>
      </c>
      <c r="D97" s="54"/>
      <c r="E97" s="54"/>
      <c r="F97" s="54">
        <v>2821.6</v>
      </c>
      <c r="G97" s="54">
        <v>498.3</v>
      </c>
      <c r="H97" s="54"/>
      <c r="I97" s="58"/>
      <c r="J97" s="54"/>
      <c r="K97" s="54"/>
      <c r="L97" s="54"/>
      <c r="M97" s="53">
        <f t="shared" si="12"/>
        <v>21382.600000000002</v>
      </c>
      <c r="N97" s="46">
        <f t="shared" si="17"/>
        <v>10147.100000000002</v>
      </c>
      <c r="O97" s="35">
        <f t="shared" si="13"/>
        <v>11235.5</v>
      </c>
      <c r="P97" s="35">
        <f t="shared" si="14"/>
        <v>21382.600000000002</v>
      </c>
      <c r="Q97" s="35">
        <f t="shared" si="15"/>
        <v>0</v>
      </c>
      <c r="R97" s="35">
        <f t="shared" si="11"/>
        <v>11235.5</v>
      </c>
    </row>
    <row r="98" spans="1:18" ht="12.75">
      <c r="A98" s="4"/>
      <c r="B98" s="5" t="s">
        <v>30</v>
      </c>
      <c r="C98" s="54">
        <f>12.1+441.9+40.1</f>
        <v>494.1</v>
      </c>
      <c r="D98" s="54"/>
      <c r="E98" s="54"/>
      <c r="F98" s="54">
        <v>1158</v>
      </c>
      <c r="G98" s="54"/>
      <c r="H98" s="54"/>
      <c r="I98" s="55"/>
      <c r="J98" s="54"/>
      <c r="K98" s="54"/>
      <c r="L98" s="54"/>
      <c r="M98" s="53">
        <f t="shared" si="12"/>
        <v>7511.4</v>
      </c>
      <c r="N98" s="46">
        <f t="shared" si="17"/>
        <v>5859.299999999999</v>
      </c>
      <c r="O98" s="35">
        <f t="shared" si="13"/>
        <v>1652.1</v>
      </c>
      <c r="P98" s="35">
        <f t="shared" si="14"/>
        <v>7511.4</v>
      </c>
      <c r="Q98" s="35">
        <f t="shared" si="15"/>
        <v>0</v>
      </c>
      <c r="R98" s="35">
        <f t="shared" si="11"/>
        <v>1652.1</v>
      </c>
    </row>
    <row r="99" spans="1:18" ht="12.75">
      <c r="A99" s="4"/>
      <c r="B99" s="5" t="s">
        <v>31</v>
      </c>
      <c r="C99" s="54">
        <f>1131.5+19637.2+2486.2</f>
        <v>23254.9</v>
      </c>
      <c r="D99" s="54"/>
      <c r="E99" s="54"/>
      <c r="F99" s="54">
        <v>696.7</v>
      </c>
      <c r="G99" s="54">
        <v>226.2</v>
      </c>
      <c r="H99" s="54"/>
      <c r="I99" s="58"/>
      <c r="J99" s="54"/>
      <c r="K99" s="54"/>
      <c r="L99" s="54"/>
      <c r="M99" s="53">
        <f t="shared" si="12"/>
        <v>26640.9</v>
      </c>
      <c r="N99" s="46">
        <f t="shared" si="17"/>
        <v>2463.1</v>
      </c>
      <c r="O99" s="35">
        <f t="shared" si="13"/>
        <v>24177.800000000003</v>
      </c>
      <c r="P99" s="35">
        <f t="shared" si="14"/>
        <v>26640.9</v>
      </c>
      <c r="Q99" s="35">
        <f t="shared" si="15"/>
        <v>0</v>
      </c>
      <c r="R99" s="35">
        <f t="shared" si="11"/>
        <v>24177.800000000003</v>
      </c>
    </row>
    <row r="100" spans="1:18" ht="12.75">
      <c r="A100" s="4"/>
      <c r="B100" s="5" t="s">
        <v>32</v>
      </c>
      <c r="C100" s="54">
        <f>13.8+217.8</f>
        <v>231.60000000000002</v>
      </c>
      <c r="D100" s="54"/>
      <c r="E100" s="54"/>
      <c r="F100" s="54">
        <v>191.2</v>
      </c>
      <c r="G100" s="54">
        <v>119.6</v>
      </c>
      <c r="H100" s="54"/>
      <c r="I100" s="54"/>
      <c r="J100" s="54"/>
      <c r="K100" s="54"/>
      <c r="L100" s="54"/>
      <c r="M100" s="53">
        <f t="shared" si="12"/>
        <v>4099.6</v>
      </c>
      <c r="N100" s="46">
        <f t="shared" si="17"/>
        <v>3557.2000000000003</v>
      </c>
      <c r="O100" s="35">
        <f t="shared" si="13"/>
        <v>542.4</v>
      </c>
      <c r="P100" s="35">
        <f t="shared" si="14"/>
        <v>4099.6</v>
      </c>
      <c r="Q100" s="35">
        <f t="shared" si="15"/>
        <v>0</v>
      </c>
      <c r="R100" s="35">
        <f t="shared" si="11"/>
        <v>542.4</v>
      </c>
    </row>
    <row r="101" spans="1:18" ht="12.75">
      <c r="A101" s="4"/>
      <c r="B101" s="5" t="s">
        <v>33</v>
      </c>
      <c r="C101" s="54">
        <f>1030.5+314.2+1868.6</f>
        <v>3213.3</v>
      </c>
      <c r="D101" s="54">
        <v>162.4</v>
      </c>
      <c r="E101" s="54"/>
      <c r="F101" s="54">
        <v>838.7</v>
      </c>
      <c r="G101" s="54"/>
      <c r="H101" s="54"/>
      <c r="I101" s="54"/>
      <c r="J101" s="54"/>
      <c r="K101" s="54"/>
      <c r="L101" s="54"/>
      <c r="M101" s="53">
        <f t="shared" si="12"/>
        <v>13038.2</v>
      </c>
      <c r="N101" s="46">
        <f t="shared" si="17"/>
        <v>8823.8</v>
      </c>
      <c r="O101" s="35">
        <f t="shared" si="13"/>
        <v>4214.400000000001</v>
      </c>
      <c r="P101" s="35">
        <f t="shared" si="14"/>
        <v>13038.2</v>
      </c>
      <c r="Q101" s="35">
        <f t="shared" si="15"/>
        <v>0</v>
      </c>
      <c r="R101" s="35">
        <f t="shared" si="11"/>
        <v>4214.400000000001</v>
      </c>
    </row>
    <row r="102" spans="1:18" ht="12.75">
      <c r="A102" s="4"/>
      <c r="B102" s="5" t="s">
        <v>34</v>
      </c>
      <c r="C102" s="54">
        <f>2294.9+257.7</f>
        <v>2552.6</v>
      </c>
      <c r="D102" s="54"/>
      <c r="E102" s="54"/>
      <c r="F102" s="54">
        <v>1220.6</v>
      </c>
      <c r="G102" s="54"/>
      <c r="H102" s="54"/>
      <c r="I102" s="54"/>
      <c r="J102" s="54"/>
      <c r="K102" s="54"/>
      <c r="L102" s="54"/>
      <c r="M102" s="53">
        <f t="shared" si="12"/>
        <v>9004.6</v>
      </c>
      <c r="N102" s="46">
        <f t="shared" si="17"/>
        <v>5231.400000000001</v>
      </c>
      <c r="O102" s="35">
        <f t="shared" si="13"/>
        <v>3773.2</v>
      </c>
      <c r="P102" s="35">
        <f t="shared" si="14"/>
        <v>9004.6</v>
      </c>
      <c r="Q102" s="35">
        <f t="shared" si="15"/>
        <v>0</v>
      </c>
      <c r="R102" s="35">
        <f t="shared" si="11"/>
        <v>3773.2</v>
      </c>
    </row>
    <row r="103" spans="1:18" ht="12.75">
      <c r="A103" s="4"/>
      <c r="B103" s="5" t="s">
        <v>35</v>
      </c>
      <c r="C103" s="54">
        <f>353.7+2346.3</f>
        <v>2700</v>
      </c>
      <c r="D103" s="54"/>
      <c r="E103" s="54"/>
      <c r="F103" s="54">
        <v>1239.5</v>
      </c>
      <c r="G103" s="54">
        <v>389.4</v>
      </c>
      <c r="H103" s="54"/>
      <c r="I103" s="54"/>
      <c r="J103" s="54"/>
      <c r="K103" s="54"/>
      <c r="L103" s="54"/>
      <c r="M103" s="53">
        <f t="shared" si="12"/>
        <v>15054.7</v>
      </c>
      <c r="N103" s="46">
        <f t="shared" si="17"/>
        <v>10725.800000000001</v>
      </c>
      <c r="O103" s="35">
        <f t="shared" si="13"/>
        <v>4328.9</v>
      </c>
      <c r="P103" s="35">
        <f t="shared" si="14"/>
        <v>15054.7</v>
      </c>
      <c r="Q103" s="35">
        <f t="shared" si="15"/>
        <v>0</v>
      </c>
      <c r="R103" s="35">
        <f t="shared" si="11"/>
        <v>4328.9</v>
      </c>
    </row>
    <row r="104" spans="1:18" ht="12.75">
      <c r="A104" s="4"/>
      <c r="B104" s="5" t="s">
        <v>36</v>
      </c>
      <c r="C104" s="54">
        <f>154.2+148.2</f>
        <v>302.4</v>
      </c>
      <c r="D104" s="54"/>
      <c r="E104" s="54"/>
      <c r="F104" s="54">
        <v>317</v>
      </c>
      <c r="G104" s="54"/>
      <c r="H104" s="54"/>
      <c r="I104" s="54"/>
      <c r="J104" s="54"/>
      <c r="K104" s="54"/>
      <c r="L104" s="54"/>
      <c r="M104" s="53">
        <f t="shared" si="12"/>
        <v>2229.3999999999996</v>
      </c>
      <c r="N104" s="46">
        <f t="shared" si="17"/>
        <v>1609.9999999999998</v>
      </c>
      <c r="O104" s="35">
        <f t="shared" si="13"/>
        <v>619.4</v>
      </c>
      <c r="P104" s="35">
        <f t="shared" si="14"/>
        <v>2229.3999999999996</v>
      </c>
      <c r="Q104" s="35">
        <f t="shared" si="15"/>
        <v>0</v>
      </c>
      <c r="R104" s="35">
        <f t="shared" si="11"/>
        <v>619.4</v>
      </c>
    </row>
    <row r="105" spans="1:18" ht="12.75">
      <c r="A105" s="4"/>
      <c r="B105" s="5" t="s">
        <v>37</v>
      </c>
      <c r="C105" s="54">
        <f>12.4+2323.5+115.6+457.2</f>
        <v>2908.7</v>
      </c>
      <c r="D105" s="54"/>
      <c r="E105" s="54"/>
      <c r="F105" s="54">
        <v>1737.5</v>
      </c>
      <c r="G105" s="54"/>
      <c r="H105" s="54"/>
      <c r="I105" s="54"/>
      <c r="J105" s="54"/>
      <c r="K105" s="54"/>
      <c r="L105" s="54"/>
      <c r="M105" s="53">
        <f t="shared" si="12"/>
        <v>8454.3</v>
      </c>
      <c r="N105" s="46">
        <f t="shared" si="17"/>
        <v>3808.1000000000004</v>
      </c>
      <c r="O105" s="35">
        <f t="shared" si="13"/>
        <v>4646.2</v>
      </c>
      <c r="P105" s="35">
        <f t="shared" si="14"/>
        <v>8454.3</v>
      </c>
      <c r="Q105" s="35">
        <f t="shared" si="15"/>
        <v>0</v>
      </c>
      <c r="R105" s="35">
        <f t="shared" si="11"/>
        <v>4646.2</v>
      </c>
    </row>
    <row r="106" spans="1:18" ht="12.75">
      <c r="A106" s="4"/>
      <c r="B106" s="5" t="s">
        <v>38</v>
      </c>
      <c r="C106" s="54">
        <f>7035.7+1046.5</f>
        <v>8082.2</v>
      </c>
      <c r="D106" s="54"/>
      <c r="E106" s="54"/>
      <c r="F106" s="54">
        <v>46.3</v>
      </c>
      <c r="G106" s="54">
        <v>4048.1</v>
      </c>
      <c r="H106" s="54"/>
      <c r="I106" s="54"/>
      <c r="J106" s="54"/>
      <c r="K106" s="54"/>
      <c r="L106" s="54"/>
      <c r="M106" s="53">
        <f t="shared" si="12"/>
        <v>22858.2</v>
      </c>
      <c r="N106" s="46">
        <f t="shared" si="17"/>
        <v>10681.6</v>
      </c>
      <c r="O106" s="35">
        <f t="shared" si="13"/>
        <v>12176.6</v>
      </c>
      <c r="P106" s="35">
        <f t="shared" si="14"/>
        <v>22858.2</v>
      </c>
      <c r="Q106" s="35">
        <f t="shared" si="15"/>
        <v>0</v>
      </c>
      <c r="R106" s="35">
        <f t="shared" si="11"/>
        <v>12176.6</v>
      </c>
    </row>
    <row r="107" spans="1:18" ht="12.75">
      <c r="A107" s="4"/>
      <c r="B107" s="5" t="s">
        <v>39</v>
      </c>
      <c r="C107" s="53">
        <f>387.7+1.9+1467.8+557.2+486.7</f>
        <v>2901.2999999999997</v>
      </c>
      <c r="D107" s="53"/>
      <c r="E107" s="53"/>
      <c r="F107" s="53">
        <v>654.6</v>
      </c>
      <c r="G107" s="53">
        <v>1524.9</v>
      </c>
      <c r="H107" s="53"/>
      <c r="I107" s="53"/>
      <c r="J107" s="53"/>
      <c r="K107" s="53"/>
      <c r="L107" s="53"/>
      <c r="M107" s="53">
        <f t="shared" si="12"/>
        <v>9776.3</v>
      </c>
      <c r="N107" s="46">
        <f t="shared" si="17"/>
        <v>4695.5</v>
      </c>
      <c r="O107" s="35">
        <f t="shared" si="13"/>
        <v>5080.799999999999</v>
      </c>
      <c r="P107" s="35">
        <f t="shared" si="14"/>
        <v>9776.3</v>
      </c>
      <c r="Q107" s="35">
        <f t="shared" si="15"/>
        <v>0</v>
      </c>
      <c r="R107" s="35">
        <f t="shared" si="11"/>
        <v>5080.799999999999</v>
      </c>
    </row>
    <row r="108" spans="1:18" ht="12.75">
      <c r="A108" s="4"/>
      <c r="B108" s="5" t="s">
        <v>40</v>
      </c>
      <c r="C108" s="53">
        <f>504.1+1475.1</f>
        <v>1979.1999999999998</v>
      </c>
      <c r="D108" s="53"/>
      <c r="E108" s="53"/>
      <c r="F108" s="53">
        <v>962.4</v>
      </c>
      <c r="G108" s="53">
        <v>69.2</v>
      </c>
      <c r="H108" s="53"/>
      <c r="I108" s="53"/>
      <c r="J108" s="53"/>
      <c r="K108" s="53"/>
      <c r="L108" s="53"/>
      <c r="M108" s="53">
        <f t="shared" si="12"/>
        <v>18346.800000000003</v>
      </c>
      <c r="N108" s="46">
        <f t="shared" si="17"/>
        <v>15336.000000000002</v>
      </c>
      <c r="O108" s="35">
        <f t="shared" si="13"/>
        <v>3010.7999999999997</v>
      </c>
      <c r="P108" s="35">
        <f t="shared" si="14"/>
        <v>18346.800000000003</v>
      </c>
      <c r="Q108" s="35">
        <f t="shared" si="15"/>
        <v>0</v>
      </c>
      <c r="R108" s="35">
        <f t="shared" si="11"/>
        <v>3010.7999999999997</v>
      </c>
    </row>
    <row r="109" spans="1:18" ht="12.75">
      <c r="A109" s="4"/>
      <c r="B109" s="5" t="s">
        <v>41</v>
      </c>
      <c r="C109" s="53">
        <f>4131.6+619.2</f>
        <v>4750.8</v>
      </c>
      <c r="D109" s="53"/>
      <c r="E109" s="53"/>
      <c r="F109" s="53">
        <v>21.2</v>
      </c>
      <c r="G109" s="53">
        <v>100.5</v>
      </c>
      <c r="H109" s="53"/>
      <c r="I109" s="53"/>
      <c r="J109" s="53"/>
      <c r="K109" s="53"/>
      <c r="L109" s="53"/>
      <c r="M109" s="53">
        <f t="shared" si="12"/>
        <v>16768</v>
      </c>
      <c r="N109" s="46">
        <f t="shared" si="17"/>
        <v>11895.5</v>
      </c>
      <c r="O109" s="35">
        <f t="shared" si="13"/>
        <v>4872.5</v>
      </c>
      <c r="P109" s="35">
        <f t="shared" si="14"/>
        <v>16768</v>
      </c>
      <c r="Q109" s="35">
        <f t="shared" si="15"/>
        <v>0</v>
      </c>
      <c r="R109" s="35">
        <f t="shared" si="11"/>
        <v>4872.5</v>
      </c>
    </row>
    <row r="110" spans="1:18" ht="12.75">
      <c r="A110" s="4"/>
      <c r="B110" s="5" t="s">
        <v>42</v>
      </c>
      <c r="C110" s="53">
        <f>161.2+3383.6</f>
        <v>3544.7999999999997</v>
      </c>
      <c r="D110" s="53"/>
      <c r="E110" s="53"/>
      <c r="F110" s="53">
        <v>316.1</v>
      </c>
      <c r="G110" s="53"/>
      <c r="H110" s="53"/>
      <c r="I110" s="53"/>
      <c r="J110" s="53"/>
      <c r="K110" s="53"/>
      <c r="L110" s="53"/>
      <c r="M110" s="53">
        <f t="shared" si="12"/>
        <v>11694.699999999999</v>
      </c>
      <c r="N110" s="46">
        <f t="shared" si="17"/>
        <v>7833.799999999999</v>
      </c>
      <c r="O110" s="35">
        <f t="shared" si="13"/>
        <v>3860.8999999999996</v>
      </c>
      <c r="P110" s="35">
        <f t="shared" si="14"/>
        <v>11694.699999999999</v>
      </c>
      <c r="Q110" s="35">
        <f t="shared" si="15"/>
        <v>0</v>
      </c>
      <c r="R110" s="35">
        <f t="shared" si="11"/>
        <v>3860.8999999999996</v>
      </c>
    </row>
    <row r="111" spans="1:18" ht="12.75">
      <c r="A111" s="4"/>
      <c r="B111" s="5" t="s">
        <v>43</v>
      </c>
      <c r="C111" s="53">
        <f>13+118.7</f>
        <v>131.7</v>
      </c>
      <c r="D111" s="53"/>
      <c r="E111" s="53"/>
      <c r="F111" s="53">
        <v>888.5</v>
      </c>
      <c r="G111" s="53"/>
      <c r="H111" s="53"/>
      <c r="I111" s="53"/>
      <c r="J111" s="53"/>
      <c r="K111" s="53"/>
      <c r="L111" s="53"/>
      <c r="M111" s="53">
        <f t="shared" si="12"/>
        <v>7506.799999999999</v>
      </c>
      <c r="N111" s="46">
        <f t="shared" si="17"/>
        <v>6486.599999999999</v>
      </c>
      <c r="O111" s="35">
        <f t="shared" si="13"/>
        <v>1020.2</v>
      </c>
      <c r="P111" s="35">
        <f t="shared" si="14"/>
        <v>7506.799999999999</v>
      </c>
      <c r="Q111" s="35">
        <f t="shared" si="15"/>
        <v>0</v>
      </c>
      <c r="R111" s="35">
        <f t="shared" si="11"/>
        <v>1020.2</v>
      </c>
    </row>
    <row r="112" spans="1:18" ht="12.75">
      <c r="A112" s="4"/>
      <c r="B112" s="5" t="s">
        <v>52</v>
      </c>
      <c r="C112" s="53"/>
      <c r="D112" s="53"/>
      <c r="E112" s="53"/>
      <c r="F112" s="53">
        <v>468.5</v>
      </c>
      <c r="G112" s="53"/>
      <c r="H112" s="53"/>
      <c r="I112" s="53"/>
      <c r="J112" s="53"/>
      <c r="K112" s="53"/>
      <c r="L112" s="53"/>
      <c r="M112" s="53">
        <f t="shared" si="12"/>
        <v>5215.199999999999</v>
      </c>
      <c r="N112" s="46">
        <f t="shared" si="17"/>
        <v>4746.699999999999</v>
      </c>
      <c r="O112" s="35">
        <f t="shared" si="13"/>
        <v>468.5</v>
      </c>
      <c r="P112" s="35">
        <f t="shared" si="14"/>
        <v>5215.199999999999</v>
      </c>
      <c r="Q112" s="35">
        <f t="shared" si="15"/>
        <v>0</v>
      </c>
      <c r="R112" s="35">
        <f t="shared" si="11"/>
        <v>468.5</v>
      </c>
    </row>
    <row r="113" spans="1:18" ht="12.75">
      <c r="A113" s="4"/>
      <c r="B113" s="5" t="s">
        <v>44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>
        <f t="shared" si="12"/>
        <v>10911.4</v>
      </c>
      <c r="N113" s="46">
        <f t="shared" si="17"/>
        <v>10911.4</v>
      </c>
      <c r="O113" s="35">
        <f t="shared" si="13"/>
        <v>0</v>
      </c>
      <c r="P113" s="35">
        <f t="shared" si="14"/>
        <v>10911.4</v>
      </c>
      <c r="Q113" s="35">
        <f t="shared" si="15"/>
        <v>0</v>
      </c>
      <c r="R113" s="35">
        <f t="shared" si="11"/>
        <v>0</v>
      </c>
    </row>
    <row r="114" spans="1:18" ht="12.75">
      <c r="A114" s="4"/>
      <c r="B114" s="14" t="s">
        <v>45</v>
      </c>
      <c r="C114" s="60">
        <f>367.3+77+110.4+47.3+434.5</f>
        <v>1036.5</v>
      </c>
      <c r="D114" s="60"/>
      <c r="E114" s="60"/>
      <c r="F114" s="60">
        <v>3109.3</v>
      </c>
      <c r="G114" s="60"/>
      <c r="H114" s="60"/>
      <c r="I114" s="60"/>
      <c r="J114" s="60"/>
      <c r="K114" s="60"/>
      <c r="L114" s="60"/>
      <c r="M114" s="60">
        <f t="shared" si="12"/>
        <v>12918.600000000002</v>
      </c>
      <c r="N114" s="51">
        <f t="shared" si="17"/>
        <v>8772.800000000001</v>
      </c>
      <c r="O114" s="35">
        <f t="shared" si="13"/>
        <v>4145.8</v>
      </c>
      <c r="P114" s="35">
        <f t="shared" si="14"/>
        <v>12918.600000000002</v>
      </c>
      <c r="Q114" s="35">
        <f t="shared" si="15"/>
        <v>0</v>
      </c>
      <c r="R114" s="35">
        <f t="shared" si="11"/>
        <v>4145.8</v>
      </c>
    </row>
    <row r="115" spans="3:18" ht="12">
      <c r="C115" s="23"/>
      <c r="R115" s="25">
        <f t="shared" si="11"/>
        <v>0</v>
      </c>
    </row>
    <row r="116" ht="12">
      <c r="C116" s="23"/>
    </row>
    <row r="117" ht="12">
      <c r="C117" s="23"/>
    </row>
    <row r="118" ht="12">
      <c r="C118" s="23"/>
    </row>
    <row r="119" ht="12">
      <c r="C119" s="23"/>
    </row>
    <row r="120" ht="12">
      <c r="C120" s="23"/>
    </row>
    <row r="121" ht="12">
      <c r="C121" s="23"/>
    </row>
    <row r="122" ht="12">
      <c r="C122" s="23"/>
    </row>
    <row r="123" ht="12">
      <c r="C123" s="23"/>
    </row>
    <row r="124" ht="12">
      <c r="C124" s="23"/>
    </row>
    <row r="125" ht="12">
      <c r="C125" s="23"/>
    </row>
    <row r="126" ht="12">
      <c r="C126" s="23"/>
    </row>
    <row r="127" ht="12">
      <c r="C127" s="23"/>
    </row>
    <row r="128" ht="12">
      <c r="C128" s="23"/>
    </row>
    <row r="129" ht="12">
      <c r="C129" s="23"/>
    </row>
    <row r="130" ht="12">
      <c r="C130" s="23"/>
    </row>
    <row r="131" ht="12">
      <c r="C131" s="23"/>
    </row>
    <row r="132" ht="12">
      <c r="C132" s="23"/>
    </row>
    <row r="133" ht="12">
      <c r="C133" s="23"/>
    </row>
    <row r="134" ht="12">
      <c r="C134" s="23"/>
    </row>
  </sheetData>
  <sheetProtection/>
  <mergeCells count="18">
    <mergeCell ref="O8:T8"/>
    <mergeCell ref="P9:Q9"/>
    <mergeCell ref="B59:M59"/>
    <mergeCell ref="J65:K67"/>
    <mergeCell ref="C6:C9"/>
    <mergeCell ref="D6:M7"/>
    <mergeCell ref="B61:M61"/>
    <mergeCell ref="G65:G67"/>
    <mergeCell ref="L66:M66"/>
    <mergeCell ref="H66:I66"/>
    <mergeCell ref="B62:M62"/>
    <mergeCell ref="E66:E67"/>
    <mergeCell ref="C65:C67"/>
    <mergeCell ref="D65:F65"/>
    <mergeCell ref="B1:M1"/>
    <mergeCell ref="B3:M3"/>
    <mergeCell ref="B4:M4"/>
    <mergeCell ref="K8:L9"/>
  </mergeCells>
  <printOptions/>
  <pageMargins left="0.984251968503937" right="0" top="0" bottom="0.5905511811023623" header="0" footer="0"/>
  <pageSetup firstPageNumber="301" useFirstPageNumber="1" horizontalDpi="300" verticalDpi="300" orientation="landscape" scale="67" r:id="rId2"/>
  <headerFooter alignWithMargins="0">
    <oddFooter>&amp;C&amp;"Arial,Negrita"&amp;P</oddFooter>
  </headerFooter>
  <rowBreaks count="1" manualBreakCount="1">
    <brk id="5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2010-08-09T22:56:59Z</cp:lastPrinted>
  <dcterms:created xsi:type="dcterms:W3CDTF">2004-01-22T15:56:45Z</dcterms:created>
  <dcterms:modified xsi:type="dcterms:W3CDTF">2010-08-09T22:57:00Z</dcterms:modified>
  <cp:category/>
  <cp:version/>
  <cp:contentType/>
  <cp:contentStatus/>
</cp:coreProperties>
</file>