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CUAD0703" sheetId="1" r:id="rId1"/>
  </sheets>
  <definedNames>
    <definedName name="_Regression_Int" localSheetId="0" hidden="1">1</definedName>
    <definedName name="A_IMPRESIÓN_IM">'CUAD0703'!$R$1:$IV$111</definedName>
    <definedName name="_xlnm.Print_Area" localSheetId="0">'CUAD0703'!$A$1:$M$112</definedName>
    <definedName name="Imprimir_área_IM" localSheetId="0">'CUAD0703'!$A$1:$M$111</definedName>
  </definedNames>
  <calcPr fullCalcOnLoad="1"/>
</workbook>
</file>

<file path=xl/sharedStrings.xml><?xml version="1.0" encoding="utf-8"?>
<sst xmlns="http://schemas.openxmlformats.org/spreadsheetml/2006/main" count="182" uniqueCount="86">
  <si>
    <t xml:space="preserve"> </t>
  </si>
  <si>
    <t xml:space="preserve">                                                                                                                                        </t>
  </si>
  <si>
    <t xml:space="preserve">  ( PRIMERA PARTE )</t>
  </si>
  <si>
    <t>AEROLINEAS</t>
  </si>
  <si>
    <t xml:space="preserve">  HOSPEDAJE</t>
  </si>
  <si>
    <t xml:space="preserve">  AEROVIAS</t>
  </si>
  <si>
    <t xml:space="preserve">   MEXICANA</t>
  </si>
  <si>
    <t xml:space="preserve">   AEROMAR</t>
  </si>
  <si>
    <t>INTERNACIONALES</t>
  </si>
  <si>
    <t xml:space="preserve">  TOTAL</t>
  </si>
  <si>
    <t xml:space="preserve">  AGENCIAS D.F.</t>
  </si>
  <si>
    <t xml:space="preserve"> AAPAUNAM</t>
  </si>
  <si>
    <t xml:space="preserve"> PRESIDENCIA</t>
  </si>
  <si>
    <t xml:space="preserve"> SEMARNAT</t>
  </si>
  <si>
    <t xml:space="preserve"> AGENCIAS FORANEAS</t>
  </si>
  <si>
    <t xml:space="preserve"> AGUASCALIENTES,AGS.</t>
  </si>
  <si>
    <t xml:space="preserve"> MEXICALI, B.C.</t>
  </si>
  <si>
    <t xml:space="preserve"> LA PAZ, B.C.S.</t>
  </si>
  <si>
    <t xml:space="preserve"> CAMPECHE, CAMP.</t>
  </si>
  <si>
    <t xml:space="preserve"> SALTILLO, COAH.</t>
  </si>
  <si>
    <t xml:space="preserve"> COLIMA, COL.</t>
  </si>
  <si>
    <t xml:space="preserve"> TUXTLA GTZ., CHIS.</t>
  </si>
  <si>
    <t xml:space="preserve"> CHIHUAHUA, CHIH.</t>
  </si>
  <si>
    <t xml:space="preserve"> DURANGO,DGO.</t>
  </si>
  <si>
    <t xml:space="preserve"> CELAYA, GTO.</t>
  </si>
  <si>
    <t xml:space="preserve"> ACAPULCO, GRO.</t>
  </si>
  <si>
    <t xml:space="preserve"> PACHUCA, HGO.</t>
  </si>
  <si>
    <t xml:space="preserve"> GUADALAJARA, JAL.</t>
  </si>
  <si>
    <t xml:space="preserve"> TOLUCA, MEX.</t>
  </si>
  <si>
    <t xml:space="preserve"> MORELIA, MICH.</t>
  </si>
  <si>
    <t xml:space="preserve"> CUERNAVACA, MOR.</t>
  </si>
  <si>
    <t xml:space="preserve"> TEPIC, NAY.</t>
  </si>
  <si>
    <t xml:space="preserve"> MONTERREY, N.L.</t>
  </si>
  <si>
    <t xml:space="preserve"> OAXACA, OAX.</t>
  </si>
  <si>
    <t xml:space="preserve"> PUEBLA, PUE.</t>
  </si>
  <si>
    <t xml:space="preserve"> QUERETARO, QRO.</t>
  </si>
  <si>
    <t xml:space="preserve"> CHETUMAL, Q. ROO</t>
  </si>
  <si>
    <t xml:space="preserve"> SAN LUIS POTOSI, S.L.P.</t>
  </si>
  <si>
    <t xml:space="preserve"> SINALOA (CULIACAN)</t>
  </si>
  <si>
    <t xml:space="preserve"> HERMOSILLO, SON.</t>
  </si>
  <si>
    <t xml:space="preserve"> VILLAHERMOSA, TAB.</t>
  </si>
  <si>
    <t xml:space="preserve"> TAMPICO, TAMPS.</t>
  </si>
  <si>
    <t xml:space="preserve"> MERIDA, YUC.</t>
  </si>
  <si>
    <t xml:space="preserve"> ZACATECAS, ZAC.</t>
  </si>
  <si>
    <t xml:space="preserve">      P A Q U E T E S</t>
  </si>
  <si>
    <t xml:space="preserve">  SERVICIOS</t>
  </si>
  <si>
    <t>ASESORIA E</t>
  </si>
  <si>
    <t xml:space="preserve">       AGENCIAS         </t>
  </si>
  <si>
    <t>EXCURSIONES</t>
  </si>
  <si>
    <t xml:space="preserve">   PROPIOS </t>
  </si>
  <si>
    <t>NO PROPIOS</t>
  </si>
  <si>
    <t xml:space="preserve"> ESPECIALES</t>
  </si>
  <si>
    <t>INFORMACIÓN</t>
  </si>
  <si>
    <t xml:space="preserve"> TOTAL</t>
  </si>
  <si>
    <t xml:space="preserve">  </t>
  </si>
  <si>
    <t xml:space="preserve"> SINALOA  (CULIACAN)</t>
  </si>
  <si>
    <t>7. 3  PERSONAS ATENDIDAS EN TURISSSTE</t>
  </si>
  <si>
    <t xml:space="preserve"> T  R  A  N  S  P  O  R  T  A  C  I  O  N         A  E  R  E  A </t>
  </si>
  <si>
    <t xml:space="preserve">  ( SEGUNDA PARTE )</t>
  </si>
  <si>
    <t>AEROCARIBE</t>
  </si>
  <si>
    <t>AVIACSA</t>
  </si>
  <si>
    <t>GRUPOS</t>
  </si>
  <si>
    <t>BALNEARIOS</t>
  </si>
  <si>
    <t>Y/O PARQUES</t>
  </si>
  <si>
    <t xml:space="preserve"> RECREATIVOS</t>
  </si>
  <si>
    <t xml:space="preserve"> JALAPA,VER.</t>
  </si>
  <si>
    <t xml:space="preserve"> REFORMA</t>
  </si>
  <si>
    <t xml:space="preserve"> JALAPA, VER.</t>
  </si>
  <si>
    <t>AEROPAC</t>
  </si>
  <si>
    <t>A.F.I.</t>
  </si>
  <si>
    <t>B.S.P.</t>
  </si>
  <si>
    <t>AGENCIAS</t>
  </si>
  <si>
    <t>TRANSPORTACION TERRESTRE</t>
  </si>
  <si>
    <t>PRIMERA PARTE</t>
  </si>
  <si>
    <t>SEGUNDA PARTE</t>
  </si>
  <si>
    <t>TOTAL</t>
  </si>
  <si>
    <t>ESTADISTICO</t>
  </si>
  <si>
    <t>E32</t>
  </si>
  <si>
    <t>DIFERENCIA</t>
  </si>
  <si>
    <t>VERTIZ</t>
  </si>
  <si>
    <t>VILLACOAPA</t>
  </si>
  <si>
    <t>C. JUDICATURA</t>
  </si>
  <si>
    <t>PERSONAS 2009</t>
  </si>
  <si>
    <t>INTERJET</t>
  </si>
  <si>
    <t>VOLARIS</t>
  </si>
  <si>
    <t>ANUARIO ESTADISTICO 2009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</si>
</sst>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#,##0;[Red]#,##0"/>
    <numFmt numFmtId="166" formatCode="#,##0.0"/>
    <numFmt numFmtId="167" formatCode="\,000.0"/>
    <numFmt numFmtId="168" formatCode="#,##0.000"/>
  </numFmts>
  <fonts count="28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  <font>
      <u val="single"/>
      <sz val="6.5"/>
      <color indexed="12"/>
      <name val="Courier"/>
      <family val="0"/>
    </font>
    <font>
      <u val="single"/>
      <sz val="6.5"/>
      <color indexed="36"/>
      <name val="Courier"/>
      <family val="0"/>
    </font>
    <font>
      <b/>
      <sz val="10"/>
      <name val="Courier"/>
      <family val="0"/>
    </font>
    <font>
      <sz val="9.5"/>
      <name val="Arial"/>
      <family val="2"/>
    </font>
    <font>
      <sz val="9.5"/>
      <name val="Courier"/>
      <family val="0"/>
    </font>
    <font>
      <b/>
      <sz val="9.5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15" fillId="4" borderId="0" applyNumberFormat="0" applyBorder="0" applyAlignment="0" applyProtection="0"/>
    <xf numFmtId="0" fontId="20" fillId="16" borderId="1" applyNumberFormat="0" applyAlignment="0" applyProtection="0"/>
    <xf numFmtId="0" fontId="22" fillId="17" borderId="2" applyNumberFormat="0" applyAlignment="0" applyProtection="0"/>
    <xf numFmtId="0" fontId="21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1" borderId="0" applyNumberFormat="0" applyBorder="0" applyAlignment="0" applyProtection="0"/>
    <xf numFmtId="0" fontId="18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6" fillId="3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7" fillId="22" borderId="0" applyNumberFormat="0" applyBorder="0" applyAlignment="0" applyProtection="0"/>
    <xf numFmtId="0" fontId="0" fillId="23" borderId="4" applyNumberFormat="0" applyFont="0" applyAlignment="0" applyProtection="0"/>
    <xf numFmtId="9" fontId="1" fillId="0" borderId="0" applyFont="0" applyFill="0" applyBorder="0" applyAlignment="0" applyProtection="0"/>
    <xf numFmtId="0" fontId="19" fillId="16" borderId="5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25" fillId="0" borderId="9" applyNumberFormat="0" applyFill="0" applyAlignment="0" applyProtection="0"/>
  </cellStyleXfs>
  <cellXfs count="110">
    <xf numFmtId="164" fontId="0" fillId="0" borderId="0" xfId="0" applyAlignment="1">
      <alignment/>
    </xf>
    <xf numFmtId="164" fontId="1" fillId="0" borderId="0" xfId="0" applyNumberFormat="1" applyFont="1" applyAlignment="1" applyProtection="1">
      <alignment horizontal="left"/>
      <protection/>
    </xf>
    <xf numFmtId="164" fontId="1" fillId="0" borderId="0" xfId="0" applyFont="1" applyAlignment="1">
      <alignment/>
    </xf>
    <xf numFmtId="164" fontId="1" fillId="0" borderId="10" xfId="0" applyNumberFormat="1" applyFont="1" applyBorder="1" applyAlignment="1" applyProtection="1">
      <alignment horizontal="left"/>
      <protection/>
    </xf>
    <xf numFmtId="164" fontId="1" fillId="0" borderId="10" xfId="0" applyFont="1" applyBorder="1" applyAlignment="1">
      <alignment/>
    </xf>
    <xf numFmtId="164" fontId="2" fillId="0" borderId="0" xfId="0" applyFont="1" applyAlignment="1">
      <alignment/>
    </xf>
    <xf numFmtId="164" fontId="5" fillId="0" borderId="0" xfId="0" applyFont="1" applyAlignment="1">
      <alignment/>
    </xf>
    <xf numFmtId="3" fontId="1" fillId="0" borderId="0" xfId="0" applyNumberFormat="1" applyFont="1" applyAlignment="1" applyProtection="1">
      <alignment/>
      <protection/>
    </xf>
    <xf numFmtId="164" fontId="8" fillId="0" borderId="0" xfId="0" applyNumberFormat="1" applyFont="1" applyAlignment="1" applyProtection="1">
      <alignment horizontal="left"/>
      <protection/>
    </xf>
    <xf numFmtId="164" fontId="6" fillId="0" borderId="0" xfId="0" applyNumberFormat="1" applyFont="1" applyAlignment="1" applyProtection="1">
      <alignment horizontal="left"/>
      <protection/>
    </xf>
    <xf numFmtId="164" fontId="6" fillId="0" borderId="0" xfId="0" applyNumberFormat="1" applyFont="1" applyBorder="1" applyAlignment="1" applyProtection="1">
      <alignment horizontal="left"/>
      <protection/>
    </xf>
    <xf numFmtId="164" fontId="1" fillId="0" borderId="10" xfId="0" applyFont="1" applyBorder="1" applyAlignment="1">
      <alignment horizontal="center"/>
    </xf>
    <xf numFmtId="3" fontId="2" fillId="0" borderId="0" xfId="0" applyNumberFormat="1" applyFont="1" applyAlignment="1" applyProtection="1">
      <alignment horizontal="center"/>
      <protection/>
    </xf>
    <xf numFmtId="3" fontId="1" fillId="0" borderId="0" xfId="0" applyNumberFormat="1" applyFont="1" applyAlignment="1">
      <alignment horizontal="center"/>
    </xf>
    <xf numFmtId="3" fontId="1" fillId="0" borderId="0" xfId="0" applyNumberFormat="1" applyFont="1" applyAlignment="1" applyProtection="1">
      <alignment horizontal="center"/>
      <protection/>
    </xf>
    <xf numFmtId="164" fontId="1" fillId="0" borderId="11" xfId="0" applyFont="1" applyBorder="1" applyAlignment="1">
      <alignment/>
    </xf>
    <xf numFmtId="164" fontId="6" fillId="0" borderId="11" xfId="0" applyNumberFormat="1" applyFont="1" applyBorder="1" applyAlignment="1" applyProtection="1">
      <alignment horizontal="left"/>
      <protection/>
    </xf>
    <xf numFmtId="164" fontId="0" fillId="0" borderId="11" xfId="0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 applyProtection="1">
      <alignment horizontal="left"/>
      <protection/>
    </xf>
    <xf numFmtId="164" fontId="0" fillId="0" borderId="12" xfId="0" applyBorder="1" applyAlignment="1">
      <alignment/>
    </xf>
    <xf numFmtId="164" fontId="0" fillId="0" borderId="12" xfId="0" applyBorder="1" applyAlignment="1">
      <alignment horizontal="center"/>
    </xf>
    <xf numFmtId="164" fontId="5" fillId="0" borderId="12" xfId="0" applyFont="1" applyBorder="1" applyAlignment="1">
      <alignment/>
    </xf>
    <xf numFmtId="3" fontId="5" fillId="0" borderId="12" xfId="0" applyNumberFormat="1" applyFont="1" applyBorder="1" applyAlignment="1">
      <alignment/>
    </xf>
    <xf numFmtId="3" fontId="0" fillId="0" borderId="12" xfId="0" applyNumberFormat="1" applyBorder="1" applyAlignment="1">
      <alignment/>
    </xf>
    <xf numFmtId="3" fontId="1" fillId="0" borderId="12" xfId="0" applyNumberFormat="1" applyFont="1" applyBorder="1" applyAlignment="1" applyProtection="1">
      <alignment/>
      <protection/>
    </xf>
    <xf numFmtId="3" fontId="1" fillId="0" borderId="0" xfId="0" applyNumberFormat="1" applyFont="1" applyFill="1" applyAlignment="1" applyProtection="1">
      <alignment horizontal="center"/>
      <protection/>
    </xf>
    <xf numFmtId="3" fontId="1" fillId="24" borderId="0" xfId="0" applyNumberFormat="1" applyFont="1" applyFill="1" applyAlignment="1" applyProtection="1">
      <alignment horizontal="center"/>
      <protection/>
    </xf>
    <xf numFmtId="164" fontId="0" fillId="24" borderId="0" xfId="0" applyFill="1" applyAlignment="1">
      <alignment/>
    </xf>
    <xf numFmtId="164" fontId="0" fillId="0" borderId="0" xfId="0" applyFill="1" applyAlignment="1">
      <alignment/>
    </xf>
    <xf numFmtId="164" fontId="1" fillId="0" borderId="0" xfId="0" applyFont="1" applyFill="1" applyAlignment="1">
      <alignment/>
    </xf>
    <xf numFmtId="164" fontId="6" fillId="0" borderId="0" xfId="0" applyNumberFormat="1" applyFont="1" applyFill="1" applyAlignment="1" applyProtection="1">
      <alignment horizontal="left"/>
      <protection/>
    </xf>
    <xf numFmtId="3" fontId="1" fillId="0" borderId="11" xfId="0" applyNumberFormat="1" applyFont="1" applyFill="1" applyBorder="1" applyAlignment="1" applyProtection="1">
      <alignment horizontal="center"/>
      <protection/>
    </xf>
    <xf numFmtId="164" fontId="9" fillId="0" borderId="0" xfId="0" applyNumberFormat="1" applyFont="1" applyAlignment="1" applyProtection="1">
      <alignment horizontal="right"/>
      <protection/>
    </xf>
    <xf numFmtId="164" fontId="10" fillId="0" borderId="0" xfId="0" applyNumberFormat="1" applyFont="1" applyAlignment="1" applyProtection="1">
      <alignment horizontal="center"/>
      <protection/>
    </xf>
    <xf numFmtId="164" fontId="6" fillId="25" borderId="0" xfId="0" applyNumberFormat="1" applyFont="1" applyFill="1" applyBorder="1" applyAlignment="1" applyProtection="1">
      <alignment horizontal="center"/>
      <protection/>
    </xf>
    <xf numFmtId="164" fontId="1" fillId="0" borderId="0" xfId="0" applyFont="1" applyBorder="1" applyAlignment="1">
      <alignment horizontal="center"/>
    </xf>
    <xf numFmtId="164" fontId="1" fillId="0" borderId="0" xfId="0" applyFont="1" applyBorder="1" applyAlignment="1">
      <alignment/>
    </xf>
    <xf numFmtId="3" fontId="0" fillId="4" borderId="12" xfId="0" applyNumberFormat="1" applyFill="1" applyBorder="1" applyAlignment="1">
      <alignment/>
    </xf>
    <xf numFmtId="3" fontId="2" fillId="0" borderId="0" xfId="0" applyNumberFormat="1" applyFont="1" applyFill="1" applyAlignment="1" applyProtection="1">
      <alignment horizontal="center"/>
      <protection/>
    </xf>
    <xf numFmtId="164" fontId="9" fillId="0" borderId="0" xfId="0" applyNumberFormat="1" applyFont="1" applyFill="1" applyAlignment="1" applyProtection="1">
      <alignment horizontal="right"/>
      <protection/>
    </xf>
    <xf numFmtId="164" fontId="10" fillId="0" borderId="0" xfId="0" applyNumberFormat="1" applyFont="1" applyFill="1" applyAlignment="1" applyProtection="1">
      <alignment horizontal="center"/>
      <protection/>
    </xf>
    <xf numFmtId="164" fontId="6" fillId="0" borderId="0" xfId="0" applyFont="1" applyFill="1" applyBorder="1" applyAlignment="1">
      <alignment horizontal="center"/>
    </xf>
    <xf numFmtId="164" fontId="6" fillId="0" borderId="0" xfId="0" applyNumberFormat="1" applyFont="1" applyFill="1" applyBorder="1" applyAlignment="1" applyProtection="1">
      <alignment horizontal="center"/>
      <protection/>
    </xf>
    <xf numFmtId="164" fontId="1" fillId="0" borderId="0" xfId="0" applyFont="1" applyFill="1" applyBorder="1" applyAlignment="1">
      <alignment horizontal="center"/>
    </xf>
    <xf numFmtId="164" fontId="1" fillId="0" borderId="0" xfId="0" applyFont="1" applyFill="1" applyBorder="1" applyAlignment="1">
      <alignment/>
    </xf>
    <xf numFmtId="3" fontId="2" fillId="0" borderId="0" xfId="0" applyNumberFormat="1" applyFont="1" applyFill="1" applyAlignment="1" applyProtection="1">
      <alignment horizontal="right"/>
      <protection/>
    </xf>
    <xf numFmtId="3" fontId="1" fillId="0" borderId="0" xfId="0" applyNumberFormat="1" applyFont="1" applyAlignment="1" applyProtection="1">
      <alignment horizontal="right"/>
      <protection/>
    </xf>
    <xf numFmtId="3" fontId="1" fillId="0" borderId="0" xfId="0" applyNumberFormat="1" applyFont="1" applyAlignment="1">
      <alignment horizontal="right"/>
    </xf>
    <xf numFmtId="3" fontId="1" fillId="0" borderId="0" xfId="0" applyNumberFormat="1" applyFont="1" applyBorder="1" applyAlignment="1">
      <alignment horizontal="right"/>
    </xf>
    <xf numFmtId="3" fontId="1" fillId="0" borderId="0" xfId="0" applyNumberFormat="1" applyFont="1" applyFill="1" applyAlignment="1" applyProtection="1">
      <alignment horizontal="right"/>
      <protection/>
    </xf>
    <xf numFmtId="3" fontId="1" fillId="24" borderId="0" xfId="0" applyNumberFormat="1" applyFont="1" applyFill="1" applyAlignment="1" applyProtection="1">
      <alignment horizontal="right"/>
      <protection/>
    </xf>
    <xf numFmtId="3" fontId="2" fillId="15" borderId="0" xfId="0" applyNumberFormat="1" applyFont="1" applyFill="1" applyAlignment="1" applyProtection="1">
      <alignment horizontal="right"/>
      <protection/>
    </xf>
    <xf numFmtId="4" fontId="2" fillId="15" borderId="0" xfId="0" applyNumberFormat="1" applyFont="1" applyFill="1" applyAlignment="1" applyProtection="1">
      <alignment horizontal="right"/>
      <protection/>
    </xf>
    <xf numFmtId="3" fontId="2" fillId="0" borderId="0" xfId="0" applyNumberFormat="1" applyFont="1" applyAlignment="1" applyProtection="1">
      <alignment horizontal="right"/>
      <protection/>
    </xf>
    <xf numFmtId="164" fontId="5" fillId="0" borderId="0" xfId="0" applyNumberFormat="1" applyFont="1" applyAlignment="1" applyProtection="1">
      <alignment horizontal="right"/>
      <protection/>
    </xf>
    <xf numFmtId="3" fontId="5" fillId="0" borderId="0" xfId="0" applyNumberFormat="1" applyFont="1" applyAlignment="1" applyProtection="1">
      <alignment horizontal="right"/>
      <protection/>
    </xf>
    <xf numFmtId="164" fontId="5" fillId="0" borderId="12" xfId="0" applyFont="1" applyBorder="1" applyAlignment="1">
      <alignment horizontal="right"/>
    </xf>
    <xf numFmtId="3" fontId="5" fillId="0" borderId="12" xfId="0" applyNumberFormat="1" applyFont="1" applyBorder="1" applyAlignment="1">
      <alignment horizontal="right"/>
    </xf>
    <xf numFmtId="164" fontId="5" fillId="0" borderId="0" xfId="0" applyFont="1" applyAlignment="1">
      <alignment horizontal="right"/>
    </xf>
    <xf numFmtId="164" fontId="0" fillId="0" borderId="0" xfId="0" applyAlignment="1">
      <alignment horizontal="right"/>
    </xf>
    <xf numFmtId="164" fontId="0" fillId="24" borderId="0" xfId="0" applyFill="1" applyAlignment="1">
      <alignment horizontal="right"/>
    </xf>
    <xf numFmtId="164" fontId="0" fillId="0" borderId="0" xfId="0" applyFill="1" applyAlignment="1">
      <alignment horizontal="right"/>
    </xf>
    <xf numFmtId="3" fontId="5" fillId="0" borderId="12" xfId="0" applyNumberFormat="1" applyFont="1" applyFill="1" applyBorder="1" applyAlignment="1">
      <alignment horizontal="right"/>
    </xf>
    <xf numFmtId="3" fontId="1" fillId="0" borderId="0" xfId="0" applyNumberFormat="1" applyFont="1" applyBorder="1" applyAlignment="1">
      <alignment horizontal="right" wrapText="1" indent="1"/>
    </xf>
    <xf numFmtId="3" fontId="1" fillId="0" borderId="0" xfId="0" applyNumberFormat="1" applyFont="1" applyFill="1" applyBorder="1" applyAlignment="1">
      <alignment horizontal="right" wrapText="1" indent="1"/>
    </xf>
    <xf numFmtId="3" fontId="1" fillId="0" borderId="0" xfId="0" applyNumberFormat="1" applyFont="1" applyAlignment="1" applyProtection="1">
      <alignment horizontal="right" wrapText="1" indent="1"/>
      <protection/>
    </xf>
    <xf numFmtId="3" fontId="2" fillId="0" borderId="0" xfId="0" applyNumberFormat="1" applyFont="1" applyFill="1" applyAlignment="1" applyProtection="1">
      <alignment horizontal="right" indent="1"/>
      <protection/>
    </xf>
    <xf numFmtId="3" fontId="1" fillId="0" borderId="0" xfId="0" applyNumberFormat="1" applyFont="1" applyFill="1" applyAlignment="1">
      <alignment horizontal="right" indent="1"/>
    </xf>
    <xf numFmtId="3" fontId="1" fillId="0" borderId="0" xfId="0" applyNumberFormat="1" applyFont="1" applyAlignment="1">
      <alignment horizontal="right" indent="1"/>
    </xf>
    <xf numFmtId="3" fontId="1" fillId="0" borderId="0" xfId="0" applyNumberFormat="1" applyFont="1" applyAlignment="1" applyProtection="1">
      <alignment horizontal="right" indent="1"/>
      <protection/>
    </xf>
    <xf numFmtId="3" fontId="1" fillId="24" borderId="0" xfId="0" applyNumberFormat="1" applyFont="1" applyFill="1" applyAlignment="1" applyProtection="1">
      <alignment horizontal="right" indent="1"/>
      <protection/>
    </xf>
    <xf numFmtId="3" fontId="1" fillId="0" borderId="0" xfId="0" applyNumberFormat="1" applyFont="1" applyFill="1" applyAlignment="1" applyProtection="1">
      <alignment horizontal="right" indent="1"/>
      <protection/>
    </xf>
    <xf numFmtId="3" fontId="1" fillId="0" borderId="11" xfId="0" applyNumberFormat="1" applyFont="1" applyFill="1" applyBorder="1" applyAlignment="1" applyProtection="1">
      <alignment horizontal="right" indent="1"/>
      <protection/>
    </xf>
    <xf numFmtId="3" fontId="1" fillId="0" borderId="0" xfId="0" applyNumberFormat="1" applyFont="1" applyBorder="1" applyAlignment="1">
      <alignment horizontal="right" indent="1"/>
    </xf>
    <xf numFmtId="3" fontId="1" fillId="0" borderId="0" xfId="0" applyNumberFormat="1" applyFont="1" applyFill="1" applyAlignment="1" applyProtection="1">
      <alignment horizontal="right" wrapText="1" indent="1"/>
      <protection/>
    </xf>
    <xf numFmtId="3" fontId="1" fillId="0" borderId="0" xfId="0" applyNumberFormat="1" applyFont="1" applyBorder="1" applyAlignment="1" applyProtection="1">
      <alignment horizontal="right" indent="1"/>
      <protection/>
    </xf>
    <xf numFmtId="3" fontId="1" fillId="0" borderId="0" xfId="0" applyNumberFormat="1" applyFont="1" applyFill="1" applyBorder="1" applyAlignment="1" applyProtection="1">
      <alignment horizontal="right" indent="1"/>
      <protection/>
    </xf>
    <xf numFmtId="3" fontId="1" fillId="0" borderId="0" xfId="0" applyNumberFormat="1" applyFont="1" applyFill="1" applyBorder="1" applyAlignment="1">
      <alignment horizontal="right" indent="1"/>
    </xf>
    <xf numFmtId="164" fontId="6" fillId="0" borderId="13" xfId="0" applyNumberFormat="1" applyFont="1" applyFill="1" applyBorder="1" applyAlignment="1" applyProtection="1">
      <alignment horizontal="center"/>
      <protection/>
    </xf>
    <xf numFmtId="164" fontId="6" fillId="0" borderId="14" xfId="0" applyNumberFormat="1" applyFont="1" applyFill="1" applyBorder="1" applyAlignment="1" applyProtection="1">
      <alignment horizontal="center"/>
      <protection/>
    </xf>
    <xf numFmtId="164" fontId="6" fillId="0" borderId="15" xfId="0" applyNumberFormat="1" applyFont="1" applyFill="1" applyBorder="1" applyAlignment="1" applyProtection="1">
      <alignment horizontal="center"/>
      <protection/>
    </xf>
    <xf numFmtId="164" fontId="6" fillId="0" borderId="11" xfId="0" applyNumberFormat="1" applyFont="1" applyFill="1" applyBorder="1" applyAlignment="1" applyProtection="1">
      <alignment horizontal="center"/>
      <protection/>
    </xf>
    <xf numFmtId="164" fontId="7" fillId="0" borderId="16" xfId="0" applyFont="1" applyFill="1" applyBorder="1" applyAlignment="1">
      <alignment horizontal="center"/>
    </xf>
    <xf numFmtId="164" fontId="6" fillId="0" borderId="17" xfId="0" applyNumberFormat="1" applyFont="1" applyFill="1" applyBorder="1" applyAlignment="1" applyProtection="1">
      <alignment horizontal="center"/>
      <protection/>
    </xf>
    <xf numFmtId="164" fontId="6" fillId="0" borderId="17" xfId="0" applyFont="1" applyFill="1" applyBorder="1" applyAlignment="1">
      <alignment horizontal="center"/>
    </xf>
    <xf numFmtId="164" fontId="6" fillId="0" borderId="10" xfId="0" applyFont="1" applyFill="1" applyBorder="1" applyAlignment="1">
      <alignment horizontal="center"/>
    </xf>
    <xf numFmtId="164" fontId="6" fillId="0" borderId="18" xfId="0" applyFont="1" applyFill="1" applyBorder="1" applyAlignment="1">
      <alignment horizontal="center"/>
    </xf>
    <xf numFmtId="164" fontId="6" fillId="0" borderId="19" xfId="0" applyFont="1" applyFill="1" applyBorder="1" applyAlignment="1">
      <alignment horizontal="center"/>
    </xf>
    <xf numFmtId="164" fontId="6" fillId="0" borderId="16" xfId="0" applyNumberFormat="1" applyFont="1" applyFill="1" applyBorder="1" applyAlignment="1" applyProtection="1">
      <alignment horizontal="center"/>
      <protection/>
    </xf>
    <xf numFmtId="164" fontId="6" fillId="0" borderId="14" xfId="0" applyNumberFormat="1" applyFont="1" applyFill="1" applyBorder="1" applyAlignment="1" applyProtection="1">
      <alignment horizontal="center"/>
      <protection/>
    </xf>
    <xf numFmtId="164" fontId="6" fillId="0" borderId="20" xfId="0" applyFont="1" applyFill="1" applyBorder="1" applyAlignment="1">
      <alignment horizontal="center"/>
    </xf>
    <xf numFmtId="164" fontId="6" fillId="0" borderId="20" xfId="0" applyNumberFormat="1" applyFont="1" applyFill="1" applyBorder="1" applyAlignment="1" applyProtection="1">
      <alignment horizontal="center"/>
      <protection/>
    </xf>
    <xf numFmtId="164" fontId="6" fillId="0" borderId="12" xfId="0" applyNumberFormat="1" applyFont="1" applyFill="1" applyBorder="1" applyAlignment="1" applyProtection="1">
      <alignment horizontal="center"/>
      <protection/>
    </xf>
    <xf numFmtId="164" fontId="6" fillId="0" borderId="21" xfId="0" applyNumberFormat="1" applyFont="1" applyFill="1" applyBorder="1" applyAlignment="1" applyProtection="1">
      <alignment horizontal="center"/>
      <protection/>
    </xf>
    <xf numFmtId="164" fontId="9" fillId="0" borderId="0" xfId="0" applyNumberFormat="1" applyFont="1" applyAlignment="1" applyProtection="1">
      <alignment horizontal="right"/>
      <protection/>
    </xf>
    <xf numFmtId="164" fontId="10" fillId="0" borderId="0" xfId="0" applyNumberFormat="1" applyFont="1" applyAlignment="1" applyProtection="1">
      <alignment horizontal="center"/>
      <protection/>
    </xf>
    <xf numFmtId="164" fontId="6" fillId="0" borderId="19" xfId="0" applyNumberFormat="1" applyFont="1" applyFill="1" applyBorder="1" applyAlignment="1" applyProtection="1">
      <alignment horizontal="center" wrapText="1"/>
      <protection/>
    </xf>
    <xf numFmtId="164" fontId="0" fillId="0" borderId="20" xfId="0" applyFill="1" applyBorder="1" applyAlignment="1">
      <alignment horizontal="center" wrapText="1"/>
    </xf>
    <xf numFmtId="164" fontId="0" fillId="0" borderId="21" xfId="0" applyFill="1" applyBorder="1" applyAlignment="1">
      <alignment horizontal="center" wrapText="1"/>
    </xf>
    <xf numFmtId="164" fontId="6" fillId="0" borderId="17" xfId="0" applyNumberFormat="1" applyFont="1" applyFill="1" applyBorder="1" applyAlignment="1" applyProtection="1">
      <alignment horizontal="center"/>
      <protection/>
    </xf>
    <xf numFmtId="164" fontId="6" fillId="0" borderId="18" xfId="0" applyNumberFormat="1" applyFont="1" applyFill="1" applyBorder="1" applyAlignment="1" applyProtection="1">
      <alignment horizontal="center"/>
      <protection/>
    </xf>
    <xf numFmtId="164" fontId="6" fillId="0" borderId="16" xfId="0" applyNumberFormat="1" applyFont="1" applyFill="1" applyBorder="1" applyAlignment="1" applyProtection="1">
      <alignment horizontal="center"/>
      <protection/>
    </xf>
    <xf numFmtId="164" fontId="6" fillId="0" borderId="16" xfId="0" applyFont="1" applyFill="1" applyBorder="1" applyAlignment="1">
      <alignment horizontal="center"/>
    </xf>
    <xf numFmtId="164" fontId="6" fillId="0" borderId="19" xfId="0" applyNumberFormat="1" applyFont="1" applyFill="1" applyBorder="1" applyAlignment="1" applyProtection="1">
      <alignment horizontal="center"/>
      <protection/>
    </xf>
    <xf numFmtId="164" fontId="6" fillId="0" borderId="19" xfId="0" applyNumberFormat="1" applyFont="1" applyFill="1" applyBorder="1" applyAlignment="1" applyProtection="1">
      <alignment horizontal="center"/>
      <protection/>
    </xf>
    <xf numFmtId="164" fontId="0" fillId="0" borderId="12" xfId="0" applyFill="1" applyBorder="1" applyAlignment="1">
      <alignment horizontal="center"/>
    </xf>
    <xf numFmtId="164" fontId="6" fillId="0" borderId="21" xfId="0" applyNumberFormat="1" applyFont="1" applyFill="1" applyBorder="1" applyAlignment="1" applyProtection="1">
      <alignment horizontal="center"/>
      <protection/>
    </xf>
    <xf numFmtId="164" fontId="0" fillId="0" borderId="12" xfId="0" applyFill="1" applyBorder="1" applyAlignment="1">
      <alignment/>
    </xf>
    <xf numFmtId="164" fontId="0" fillId="0" borderId="12" xfId="0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</xdr:col>
      <xdr:colOff>704850</xdr:colOff>
      <xdr:row>4</xdr:row>
      <xdr:rowOff>57150</xdr:rowOff>
    </xdr:to>
    <xdr:pic>
      <xdr:nvPicPr>
        <xdr:cNvPr id="1" name="Picture 1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7048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56</xdr:row>
      <xdr:rowOff>133350</xdr:rowOff>
    </xdr:from>
    <xdr:to>
      <xdr:col>1</xdr:col>
      <xdr:colOff>657225</xdr:colOff>
      <xdr:row>60</xdr:row>
      <xdr:rowOff>38100</xdr:rowOff>
    </xdr:to>
    <xdr:pic>
      <xdr:nvPicPr>
        <xdr:cNvPr id="2" name="Picture 3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9239250"/>
          <a:ext cx="5810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A131"/>
  <sheetViews>
    <sheetView showGridLines="0" showZeros="0" tabSelected="1" view="pageBreakPreview" zoomScale="65" zoomScaleNormal="75" zoomScaleSheetLayoutView="65" zoomScalePageLayoutView="0" workbookViewId="0" topLeftCell="A1">
      <selection activeCell="M80" sqref="M80"/>
    </sheetView>
  </sheetViews>
  <sheetFormatPr defaultColWidth="9.625" defaultRowHeight="12.75"/>
  <cols>
    <col min="1" max="1" width="1.00390625" style="0" customWidth="1"/>
    <col min="2" max="2" width="20.50390625" style="0" customWidth="1"/>
    <col min="3" max="3" width="16.625" style="0" customWidth="1"/>
    <col min="4" max="4" width="11.625" style="0" customWidth="1"/>
    <col min="5" max="5" width="12.125" style="0" customWidth="1"/>
    <col min="6" max="6" width="16.75390625" style="0" customWidth="1"/>
    <col min="7" max="7" width="11.00390625" style="0" customWidth="1"/>
    <col min="8" max="8" width="8.50390625" style="0" customWidth="1"/>
    <col min="9" max="9" width="17.75390625" style="0" customWidth="1"/>
    <col min="10" max="10" width="14.625" style="0" customWidth="1"/>
    <col min="11" max="11" width="13.00390625" style="0" customWidth="1"/>
    <col min="12" max="12" width="14.00390625" style="0" customWidth="1"/>
    <col min="13" max="13" width="12.75390625" style="0" customWidth="1"/>
    <col min="14" max="14" width="11.125" style="29" hidden="1" customWidth="1"/>
    <col min="15" max="17" width="11.125" style="0" hidden="1" customWidth="1"/>
    <col min="18" max="18" width="11.625" style="0" hidden="1" customWidth="1"/>
    <col min="19" max="19" width="22.50390625" style="0" hidden="1" customWidth="1"/>
    <col min="20" max="20" width="14.625" style="0" hidden="1" customWidth="1"/>
    <col min="21" max="21" width="14.75390625" style="0" hidden="1" customWidth="1"/>
    <col min="22" max="22" width="11.00390625" style="0" hidden="1" customWidth="1"/>
    <col min="23" max="23" width="11.875" style="0" hidden="1" customWidth="1"/>
    <col min="24" max="24" width="10.875" style="0" hidden="1" customWidth="1"/>
    <col min="25" max="25" width="11.50390625" style="0" hidden="1" customWidth="1"/>
    <col min="26" max="26" width="0" style="0" hidden="1" customWidth="1"/>
  </cols>
  <sheetData>
    <row r="1" spans="1:17" ht="12.75">
      <c r="A1" s="2"/>
      <c r="B1" s="95" t="s">
        <v>85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40"/>
      <c r="O1" s="33"/>
      <c r="P1" s="33"/>
      <c r="Q1" s="33"/>
    </row>
    <row r="2" spans="1:17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0"/>
      <c r="O2" s="2"/>
      <c r="P2" s="2"/>
      <c r="Q2" s="2"/>
    </row>
    <row r="3" spans="1:17" ht="18">
      <c r="A3" s="2"/>
      <c r="B3" s="96" t="s">
        <v>56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41"/>
      <c r="O3" s="34"/>
      <c r="P3" s="34"/>
      <c r="Q3" s="34"/>
    </row>
    <row r="4" spans="1:17" ht="18">
      <c r="A4" s="2"/>
      <c r="B4" s="96" t="s">
        <v>2</v>
      </c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41"/>
      <c r="O4" s="34"/>
      <c r="P4" s="34"/>
      <c r="Q4" s="34"/>
    </row>
    <row r="5" spans="1:17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30"/>
      <c r="O5" s="2"/>
      <c r="P5" s="2"/>
      <c r="Q5" s="2"/>
    </row>
    <row r="6" spans="1:17" s="29" customFormat="1" ht="12.75">
      <c r="A6" s="30"/>
      <c r="B6" s="84"/>
      <c r="C6" s="85"/>
      <c r="D6" s="86"/>
      <c r="E6" s="86"/>
      <c r="F6" s="86"/>
      <c r="G6" s="86"/>
      <c r="H6" s="86"/>
      <c r="I6" s="86"/>
      <c r="J6" s="86"/>
      <c r="K6" s="86"/>
      <c r="L6" s="86"/>
      <c r="M6" s="87"/>
      <c r="N6" s="42"/>
      <c r="O6" s="42"/>
      <c r="P6" s="42"/>
      <c r="Q6" s="42"/>
    </row>
    <row r="7" spans="1:17" s="29" customFormat="1" ht="12.75">
      <c r="A7" s="30"/>
      <c r="B7" s="83"/>
      <c r="C7" s="80" t="s">
        <v>57</v>
      </c>
      <c r="D7" s="82"/>
      <c r="E7" s="82"/>
      <c r="F7" s="82"/>
      <c r="G7" s="82"/>
      <c r="H7" s="82"/>
      <c r="I7" s="82"/>
      <c r="J7" s="82"/>
      <c r="K7" s="82"/>
      <c r="L7" s="82"/>
      <c r="M7" s="81"/>
      <c r="N7" s="43"/>
      <c r="O7" s="43"/>
      <c r="P7" s="43"/>
      <c r="Q7" s="43"/>
    </row>
    <row r="8" spans="1:24" s="29" customFormat="1" ht="12.75">
      <c r="A8" s="30"/>
      <c r="B8" s="103" t="s">
        <v>71</v>
      </c>
      <c r="C8" s="88"/>
      <c r="D8" s="88"/>
      <c r="E8" s="88"/>
      <c r="F8" s="104"/>
      <c r="G8" s="88"/>
      <c r="H8" s="88"/>
      <c r="I8" s="88" t="s">
        <v>3</v>
      </c>
      <c r="J8" s="104"/>
      <c r="K8" s="104"/>
      <c r="L8" s="104"/>
      <c r="M8" s="105" t="s">
        <v>70</v>
      </c>
      <c r="N8" s="43"/>
      <c r="O8" s="43"/>
      <c r="P8" s="43"/>
      <c r="Q8" s="43"/>
      <c r="S8" s="106" t="s">
        <v>82</v>
      </c>
      <c r="T8" s="106"/>
      <c r="U8" s="106"/>
      <c r="V8" s="106"/>
      <c r="W8" s="106"/>
      <c r="X8" s="106"/>
    </row>
    <row r="9" spans="1:24" s="29" customFormat="1" ht="12.75">
      <c r="A9" s="30"/>
      <c r="B9" s="90"/>
      <c r="C9" s="94" t="s">
        <v>4</v>
      </c>
      <c r="D9" s="94" t="s">
        <v>5</v>
      </c>
      <c r="E9" s="94" t="s">
        <v>6</v>
      </c>
      <c r="F9" s="94" t="s">
        <v>83</v>
      </c>
      <c r="G9" s="94" t="s">
        <v>7</v>
      </c>
      <c r="H9" s="94" t="s">
        <v>84</v>
      </c>
      <c r="I9" s="94" t="s">
        <v>8</v>
      </c>
      <c r="J9" s="94" t="s">
        <v>60</v>
      </c>
      <c r="K9" s="94" t="s">
        <v>68</v>
      </c>
      <c r="L9" s="94" t="s">
        <v>59</v>
      </c>
      <c r="M9" s="107"/>
      <c r="N9" s="43"/>
      <c r="O9" s="43"/>
      <c r="P9" s="43"/>
      <c r="Q9" s="43"/>
      <c r="S9" s="108"/>
      <c r="T9" s="108"/>
      <c r="U9" s="108"/>
      <c r="V9" s="109" t="s">
        <v>75</v>
      </c>
      <c r="W9" s="109" t="s">
        <v>76</v>
      </c>
      <c r="X9" s="108" t="s">
        <v>78</v>
      </c>
    </row>
    <row r="10" spans="1:24" ht="12.75">
      <c r="A10" s="2"/>
      <c r="B10" s="3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44"/>
      <c r="O10" s="36"/>
      <c r="P10" s="36"/>
      <c r="Q10" s="36"/>
      <c r="S10" s="20"/>
      <c r="T10" s="20" t="s">
        <v>73</v>
      </c>
      <c r="U10" s="20" t="s">
        <v>74</v>
      </c>
      <c r="V10" s="21" t="s">
        <v>76</v>
      </c>
      <c r="W10" s="21" t="s">
        <v>77</v>
      </c>
      <c r="X10" s="20"/>
    </row>
    <row r="11" spans="1:25" s="6" customFormat="1" ht="12.75">
      <c r="A11" s="5"/>
      <c r="B11" s="8" t="s">
        <v>9</v>
      </c>
      <c r="C11" s="67">
        <f>SUM(C13+C25)</f>
        <v>37060</v>
      </c>
      <c r="D11" s="67">
        <f aca="true" t="shared" si="0" ref="D11:M11">SUM(D13+D25)</f>
        <v>24407</v>
      </c>
      <c r="E11" s="67">
        <f t="shared" si="0"/>
        <v>19508</v>
      </c>
      <c r="F11" s="67">
        <f t="shared" si="0"/>
        <v>5633</v>
      </c>
      <c r="G11" s="67">
        <f>SUM(G13+G25)</f>
        <v>4712</v>
      </c>
      <c r="H11" s="67">
        <f t="shared" si="0"/>
        <v>0</v>
      </c>
      <c r="I11" s="67"/>
      <c r="J11" s="67">
        <f t="shared" si="0"/>
        <v>3637</v>
      </c>
      <c r="K11" s="67">
        <f t="shared" si="0"/>
        <v>9</v>
      </c>
      <c r="L11" s="67"/>
      <c r="M11" s="67">
        <f t="shared" si="0"/>
        <v>4655</v>
      </c>
      <c r="N11" s="39">
        <f>SUM(C11:M11)</f>
        <v>99621</v>
      </c>
      <c r="O11" s="12"/>
      <c r="P11" s="12"/>
      <c r="Q11" s="12"/>
      <c r="S11" s="22" t="s">
        <v>9</v>
      </c>
      <c r="T11" s="23">
        <f>SUM(C11:M11)</f>
        <v>99621</v>
      </c>
      <c r="U11" s="23">
        <f>W66</f>
        <v>1621613</v>
      </c>
      <c r="V11" s="23">
        <f>T11+U11</f>
        <v>1721234</v>
      </c>
      <c r="W11" s="23">
        <f>W25+W13</f>
        <v>1721234</v>
      </c>
      <c r="X11" s="22">
        <f>V11-W11</f>
        <v>0</v>
      </c>
      <c r="Y11" s="6">
        <f aca="true" t="shared" si="1" ref="Y11:Y27">V11-W11</f>
        <v>0</v>
      </c>
    </row>
    <row r="12" spans="1:25" ht="6" customHeight="1">
      <c r="A12" s="2"/>
      <c r="B12" s="9" t="s">
        <v>1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39">
        <f aca="true" t="shared" si="2" ref="N12:N56">SUM(C12:M12)</f>
        <v>0</v>
      </c>
      <c r="O12" s="13"/>
      <c r="P12" s="13"/>
      <c r="Q12" s="13"/>
      <c r="S12" s="20" t="s">
        <v>1</v>
      </c>
      <c r="T12" s="23">
        <f>SUM(C12:M12)</f>
        <v>0</v>
      </c>
      <c r="U12" s="24">
        <f>W67</f>
        <v>0</v>
      </c>
      <c r="V12" s="23">
        <f aca="true" t="shared" si="3" ref="V12:V56">T12+U12</f>
        <v>0</v>
      </c>
      <c r="W12" s="24"/>
      <c r="X12" s="20"/>
      <c r="Y12" s="6">
        <f t="shared" si="1"/>
        <v>0</v>
      </c>
    </row>
    <row r="13" spans="1:25" s="6" customFormat="1" ht="12.75">
      <c r="A13" s="5"/>
      <c r="B13" s="8" t="s">
        <v>10</v>
      </c>
      <c r="C13" s="67">
        <f>SUM(C16:C23)</f>
        <v>21015</v>
      </c>
      <c r="D13" s="67">
        <f aca="true" t="shared" si="4" ref="D13:M13">SUM(D16:D23)</f>
        <v>14326</v>
      </c>
      <c r="E13" s="67">
        <f t="shared" si="4"/>
        <v>8286</v>
      </c>
      <c r="F13" s="67">
        <f t="shared" si="4"/>
        <v>2601</v>
      </c>
      <c r="G13" s="67">
        <f>SUM(G16:G23)</f>
        <v>2826</v>
      </c>
      <c r="H13" s="67">
        <f t="shared" si="4"/>
        <v>0</v>
      </c>
      <c r="I13" s="67"/>
      <c r="J13" s="67">
        <f t="shared" si="4"/>
        <v>741</v>
      </c>
      <c r="K13" s="67"/>
      <c r="L13" s="67"/>
      <c r="M13" s="67">
        <f t="shared" si="4"/>
        <v>264</v>
      </c>
      <c r="N13" s="39">
        <f t="shared" si="2"/>
        <v>50059</v>
      </c>
      <c r="O13" s="12"/>
      <c r="P13" s="12"/>
      <c r="Q13" s="12"/>
      <c r="S13" s="22" t="s">
        <v>10</v>
      </c>
      <c r="T13" s="23">
        <f>SUM(C13:M13)</f>
        <v>50059</v>
      </c>
      <c r="U13" s="23">
        <f>W68</f>
        <v>434552</v>
      </c>
      <c r="V13" s="23">
        <f t="shared" si="3"/>
        <v>484611</v>
      </c>
      <c r="W13" s="23">
        <f>SUM(W16:W23)</f>
        <v>484611</v>
      </c>
      <c r="X13" s="22">
        <f>V13-W13</f>
        <v>0</v>
      </c>
      <c r="Y13" s="6">
        <f t="shared" si="1"/>
        <v>0</v>
      </c>
    </row>
    <row r="14" spans="1:25" ht="12.75">
      <c r="A14" s="2"/>
      <c r="B14" s="9" t="s">
        <v>1</v>
      </c>
      <c r="C14" s="47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39">
        <f t="shared" si="2"/>
        <v>0</v>
      </c>
      <c r="O14" s="13"/>
      <c r="P14" s="13"/>
      <c r="Q14" s="13"/>
      <c r="S14" s="20" t="s">
        <v>1</v>
      </c>
      <c r="T14" s="23">
        <f>SUM(T16:T23)</f>
        <v>50059</v>
      </c>
      <c r="U14" s="23">
        <f>SUM(U16:U23)</f>
        <v>434552</v>
      </c>
      <c r="V14" s="23">
        <f>SUM(V16:V23)</f>
        <v>484611</v>
      </c>
      <c r="W14" s="23">
        <f>SUM(W16:W23)</f>
        <v>484611</v>
      </c>
      <c r="X14" s="22">
        <f>V14-W14</f>
        <v>0</v>
      </c>
      <c r="Y14" s="6">
        <f t="shared" si="1"/>
        <v>0</v>
      </c>
    </row>
    <row r="15" spans="1:25" ht="12.75">
      <c r="A15" s="2"/>
      <c r="B15" s="10"/>
      <c r="C15" s="49"/>
      <c r="D15" s="74"/>
      <c r="E15" s="74"/>
      <c r="F15" s="74"/>
      <c r="G15" s="74"/>
      <c r="H15" s="74"/>
      <c r="I15" s="74"/>
      <c r="J15" s="74"/>
      <c r="K15" s="74"/>
      <c r="L15" s="74"/>
      <c r="M15" s="69"/>
      <c r="N15" s="39">
        <f t="shared" si="2"/>
        <v>0</v>
      </c>
      <c r="O15" s="13"/>
      <c r="P15" s="13"/>
      <c r="Q15" s="13"/>
      <c r="S15" s="20"/>
      <c r="T15" s="23">
        <f aca="true" t="shared" si="5" ref="T15:T25">SUM(C15:M15)</f>
        <v>0</v>
      </c>
      <c r="U15" s="24">
        <f aca="true" t="shared" si="6" ref="U15:U25">W70</f>
        <v>0</v>
      </c>
      <c r="V15" s="23">
        <f t="shared" si="3"/>
        <v>0</v>
      </c>
      <c r="W15" s="24"/>
      <c r="X15" s="20"/>
      <c r="Y15" s="6">
        <f t="shared" si="1"/>
        <v>0</v>
      </c>
    </row>
    <row r="16" spans="1:25" ht="12.75">
      <c r="A16" s="2"/>
      <c r="B16" s="9" t="s">
        <v>66</v>
      </c>
      <c r="C16" s="64">
        <v>14848</v>
      </c>
      <c r="D16" s="66">
        <f>2872</f>
        <v>2872</v>
      </c>
      <c r="E16" s="66">
        <v>1562</v>
      </c>
      <c r="F16" s="66">
        <v>2399</v>
      </c>
      <c r="G16" s="66">
        <v>446</v>
      </c>
      <c r="H16" s="66"/>
      <c r="I16" s="66"/>
      <c r="J16" s="66">
        <v>87</v>
      </c>
      <c r="K16" s="66"/>
      <c r="L16" s="66"/>
      <c r="M16" s="66"/>
      <c r="N16" s="39">
        <f t="shared" si="2"/>
        <v>22214</v>
      </c>
      <c r="O16" s="14"/>
      <c r="P16" s="14"/>
      <c r="Q16" s="14"/>
      <c r="S16" s="20" t="s">
        <v>66</v>
      </c>
      <c r="T16" s="23">
        <f t="shared" si="5"/>
        <v>22214</v>
      </c>
      <c r="U16" s="24">
        <f t="shared" si="6"/>
        <v>347483</v>
      </c>
      <c r="V16" s="23">
        <f t="shared" si="3"/>
        <v>369697</v>
      </c>
      <c r="W16" s="38">
        <v>369697</v>
      </c>
      <c r="X16" s="20">
        <f>V16-W16</f>
        <v>0</v>
      </c>
      <c r="Y16" s="6">
        <f t="shared" si="1"/>
        <v>0</v>
      </c>
    </row>
    <row r="17" spans="1:25" ht="12.75">
      <c r="A17" s="2"/>
      <c r="B17" s="9" t="s">
        <v>11</v>
      </c>
      <c r="C17" s="64">
        <v>643</v>
      </c>
      <c r="D17" s="75">
        <f>39-4</f>
        <v>35</v>
      </c>
      <c r="E17" s="66">
        <v>5</v>
      </c>
      <c r="F17" s="66">
        <v>3</v>
      </c>
      <c r="G17" s="66">
        <v>3</v>
      </c>
      <c r="H17" s="66"/>
      <c r="I17" s="66"/>
      <c r="J17" s="75">
        <v>4</v>
      </c>
      <c r="K17" s="66"/>
      <c r="L17" s="66"/>
      <c r="M17" s="66">
        <v>28</v>
      </c>
      <c r="N17" s="39">
        <f t="shared" si="2"/>
        <v>721</v>
      </c>
      <c r="O17" s="14"/>
      <c r="P17" s="14"/>
      <c r="Q17" s="14"/>
      <c r="S17" s="20" t="s">
        <v>11</v>
      </c>
      <c r="T17" s="23">
        <f t="shared" si="5"/>
        <v>721</v>
      </c>
      <c r="U17" s="24">
        <f t="shared" si="6"/>
        <v>7053</v>
      </c>
      <c r="V17" s="23">
        <f t="shared" si="3"/>
        <v>7774</v>
      </c>
      <c r="W17" s="38">
        <v>7774</v>
      </c>
      <c r="X17" s="20">
        <f aca="true" t="shared" si="7" ref="X17:X23">V17-W17</f>
        <v>0</v>
      </c>
      <c r="Y17" s="6">
        <f t="shared" si="1"/>
        <v>0</v>
      </c>
    </row>
    <row r="18" spans="1:25" ht="12.75">
      <c r="A18" s="2"/>
      <c r="B18" s="9" t="s">
        <v>12</v>
      </c>
      <c r="C18" s="64">
        <v>45</v>
      </c>
      <c r="D18" s="66">
        <v>1412</v>
      </c>
      <c r="E18" s="66">
        <v>696</v>
      </c>
      <c r="F18" s="66">
        <v>15</v>
      </c>
      <c r="G18" s="66">
        <v>148</v>
      </c>
      <c r="H18" s="66"/>
      <c r="I18" s="66"/>
      <c r="J18" s="66">
        <v>73</v>
      </c>
      <c r="K18" s="66"/>
      <c r="L18" s="66"/>
      <c r="M18" s="66">
        <v>34</v>
      </c>
      <c r="N18" s="39">
        <f t="shared" si="2"/>
        <v>2423</v>
      </c>
      <c r="O18" s="14"/>
      <c r="P18" s="14"/>
      <c r="Q18" s="14"/>
      <c r="S18" s="20" t="s">
        <v>12</v>
      </c>
      <c r="T18" s="23">
        <f t="shared" si="5"/>
        <v>2423</v>
      </c>
      <c r="U18" s="24">
        <f t="shared" si="6"/>
        <v>1714</v>
      </c>
      <c r="V18" s="23">
        <f t="shared" si="3"/>
        <v>4137</v>
      </c>
      <c r="W18" s="38">
        <v>4137</v>
      </c>
      <c r="X18" s="20">
        <f t="shared" si="7"/>
        <v>0</v>
      </c>
      <c r="Y18" s="6">
        <f t="shared" si="1"/>
        <v>0</v>
      </c>
    </row>
    <row r="19" spans="1:25" ht="12.75">
      <c r="A19" s="2"/>
      <c r="B19" s="9" t="s">
        <v>13</v>
      </c>
      <c r="C19" s="65">
        <v>49</v>
      </c>
      <c r="D19" s="75">
        <v>1567</v>
      </c>
      <c r="E19" s="75">
        <v>1655</v>
      </c>
      <c r="F19" s="75"/>
      <c r="G19" s="75">
        <v>356</v>
      </c>
      <c r="H19" s="75"/>
      <c r="I19" s="75"/>
      <c r="J19" s="75">
        <v>105</v>
      </c>
      <c r="K19" s="75"/>
      <c r="L19" s="75"/>
      <c r="M19" s="75">
        <v>50</v>
      </c>
      <c r="N19" s="39">
        <f t="shared" si="2"/>
        <v>3782</v>
      </c>
      <c r="O19" s="26"/>
      <c r="P19" s="26"/>
      <c r="Q19" s="26"/>
      <c r="S19" s="20" t="s">
        <v>13</v>
      </c>
      <c r="T19" s="23">
        <f t="shared" si="5"/>
        <v>3782</v>
      </c>
      <c r="U19" s="24">
        <f t="shared" si="6"/>
        <v>8611</v>
      </c>
      <c r="V19" s="23">
        <f t="shared" si="3"/>
        <v>12393</v>
      </c>
      <c r="W19" s="38">
        <v>12393</v>
      </c>
      <c r="X19" s="20">
        <f t="shared" si="7"/>
        <v>0</v>
      </c>
      <c r="Y19" s="6">
        <f t="shared" si="1"/>
        <v>0</v>
      </c>
    </row>
    <row r="20" spans="1:25" ht="12.75">
      <c r="A20" s="2"/>
      <c r="B20" s="9" t="s">
        <v>79</v>
      </c>
      <c r="C20" s="64">
        <v>2146</v>
      </c>
      <c r="D20" s="66">
        <f>260+17</f>
        <v>277</v>
      </c>
      <c r="E20" s="66">
        <f>228+3</f>
        <v>231</v>
      </c>
      <c r="F20" s="66">
        <v>2</v>
      </c>
      <c r="G20" s="66">
        <f>45+8</f>
        <v>53</v>
      </c>
      <c r="H20" s="66"/>
      <c r="I20" s="66"/>
      <c r="J20" s="66">
        <v>27</v>
      </c>
      <c r="K20" s="66"/>
      <c r="L20" s="66"/>
      <c r="M20" s="66">
        <v>57</v>
      </c>
      <c r="N20" s="39">
        <f t="shared" si="2"/>
        <v>2793</v>
      </c>
      <c r="O20" s="14"/>
      <c r="P20" s="14"/>
      <c r="Q20" s="14"/>
      <c r="S20" s="20" t="s">
        <v>79</v>
      </c>
      <c r="T20" s="23">
        <f t="shared" si="5"/>
        <v>2793</v>
      </c>
      <c r="U20" s="24">
        <f t="shared" si="6"/>
        <v>17710</v>
      </c>
      <c r="V20" s="23">
        <f t="shared" si="3"/>
        <v>20503</v>
      </c>
      <c r="W20" s="38">
        <v>20503</v>
      </c>
      <c r="X20" s="20">
        <f t="shared" si="7"/>
        <v>0</v>
      </c>
      <c r="Y20" s="6">
        <f t="shared" si="1"/>
        <v>0</v>
      </c>
    </row>
    <row r="21" spans="1:25" ht="12.75">
      <c r="A21" s="2"/>
      <c r="B21" s="9" t="s">
        <v>80</v>
      </c>
      <c r="C21" s="66">
        <v>2924</v>
      </c>
      <c r="D21" s="66">
        <v>172</v>
      </c>
      <c r="E21" s="66">
        <v>103</v>
      </c>
      <c r="F21" s="66">
        <v>121</v>
      </c>
      <c r="G21" s="66">
        <v>33</v>
      </c>
      <c r="H21" s="66"/>
      <c r="I21" s="66"/>
      <c r="J21" s="66">
        <v>10</v>
      </c>
      <c r="K21" s="66"/>
      <c r="L21" s="66"/>
      <c r="M21" s="66">
        <v>29</v>
      </c>
      <c r="N21" s="39">
        <f t="shared" si="2"/>
        <v>3392</v>
      </c>
      <c r="O21" s="14"/>
      <c r="P21" s="14"/>
      <c r="Q21" s="14"/>
      <c r="S21" s="20" t="s">
        <v>80</v>
      </c>
      <c r="T21" s="23">
        <f t="shared" si="5"/>
        <v>3392</v>
      </c>
      <c r="U21" s="24">
        <f t="shared" si="6"/>
        <v>29985</v>
      </c>
      <c r="V21" s="23">
        <f t="shared" si="3"/>
        <v>33377</v>
      </c>
      <c r="W21" s="38">
        <v>33377</v>
      </c>
      <c r="X21" s="20">
        <f t="shared" si="7"/>
        <v>0</v>
      </c>
      <c r="Y21" s="6">
        <f t="shared" si="1"/>
        <v>0</v>
      </c>
    </row>
    <row r="22" spans="1:25" ht="12.75">
      <c r="A22" s="2"/>
      <c r="B22" s="9" t="s">
        <v>69</v>
      </c>
      <c r="C22" s="66"/>
      <c r="D22" s="66">
        <v>6335</v>
      </c>
      <c r="E22" s="66">
        <v>2764</v>
      </c>
      <c r="F22" s="66">
        <v>6</v>
      </c>
      <c r="G22" s="66">
        <v>1240</v>
      </c>
      <c r="H22" s="66"/>
      <c r="I22" s="66"/>
      <c r="J22" s="66">
        <v>364</v>
      </c>
      <c r="K22" s="66"/>
      <c r="L22" s="66"/>
      <c r="M22" s="66">
        <v>30</v>
      </c>
      <c r="N22" s="39">
        <f t="shared" si="2"/>
        <v>10739</v>
      </c>
      <c r="O22" s="14"/>
      <c r="P22" s="14"/>
      <c r="Q22" s="14"/>
      <c r="S22" s="20" t="s">
        <v>69</v>
      </c>
      <c r="T22" s="23">
        <f t="shared" si="5"/>
        <v>10739</v>
      </c>
      <c r="U22" s="24">
        <f t="shared" si="6"/>
        <v>10682</v>
      </c>
      <c r="V22" s="23">
        <f t="shared" si="3"/>
        <v>21421</v>
      </c>
      <c r="W22" s="38">
        <v>21421</v>
      </c>
      <c r="X22" s="20">
        <f t="shared" si="7"/>
        <v>0</v>
      </c>
      <c r="Y22" s="6">
        <f t="shared" si="1"/>
        <v>0</v>
      </c>
    </row>
    <row r="23" spans="1:25" ht="12.75">
      <c r="A23" s="2"/>
      <c r="B23" s="9" t="s">
        <v>81</v>
      </c>
      <c r="C23" s="66">
        <v>360</v>
      </c>
      <c r="D23" s="66">
        <f>1648+8</f>
        <v>1656</v>
      </c>
      <c r="E23" s="66">
        <f>1266+4</f>
        <v>1270</v>
      </c>
      <c r="F23" s="66">
        <v>55</v>
      </c>
      <c r="G23" s="66">
        <f>545+2</f>
        <v>547</v>
      </c>
      <c r="H23" s="66"/>
      <c r="I23" s="66"/>
      <c r="J23" s="66">
        <v>71</v>
      </c>
      <c r="K23" s="66"/>
      <c r="L23" s="66"/>
      <c r="M23" s="66">
        <v>36</v>
      </c>
      <c r="N23" s="39">
        <f t="shared" si="2"/>
        <v>3995</v>
      </c>
      <c r="O23" s="14"/>
      <c r="P23" s="14"/>
      <c r="Q23" s="14"/>
      <c r="S23" s="20" t="s">
        <v>81</v>
      </c>
      <c r="T23" s="23">
        <f t="shared" si="5"/>
        <v>3995</v>
      </c>
      <c r="U23" s="24">
        <f t="shared" si="6"/>
        <v>11314</v>
      </c>
      <c r="V23" s="23">
        <f t="shared" si="3"/>
        <v>15309</v>
      </c>
      <c r="W23" s="38">
        <v>15309</v>
      </c>
      <c r="X23" s="20">
        <f t="shared" si="7"/>
        <v>0</v>
      </c>
      <c r="Y23" s="6">
        <f t="shared" si="1"/>
        <v>0</v>
      </c>
    </row>
    <row r="24" spans="1:25" ht="12.75">
      <c r="A24" s="2"/>
      <c r="B24" s="9" t="s">
        <v>1</v>
      </c>
      <c r="C24" s="48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39">
        <f t="shared" si="2"/>
        <v>0</v>
      </c>
      <c r="O24" s="13"/>
      <c r="P24" s="13"/>
      <c r="Q24" s="13"/>
      <c r="S24" s="20" t="s">
        <v>1</v>
      </c>
      <c r="T24" s="23">
        <f t="shared" si="5"/>
        <v>0</v>
      </c>
      <c r="U24" s="24">
        <f t="shared" si="6"/>
        <v>0</v>
      </c>
      <c r="V24" s="23">
        <f t="shared" si="3"/>
        <v>0</v>
      </c>
      <c r="W24" s="24"/>
      <c r="X24" s="20"/>
      <c r="Y24" s="6">
        <f t="shared" si="1"/>
        <v>0</v>
      </c>
    </row>
    <row r="25" spans="1:25" s="6" customFormat="1" ht="12.75">
      <c r="A25" s="5"/>
      <c r="B25" s="8" t="s">
        <v>14</v>
      </c>
      <c r="C25" s="67">
        <f>SUM(C27:C56)</f>
        <v>16045</v>
      </c>
      <c r="D25" s="67">
        <f aca="true" t="shared" si="8" ref="D25:M25">SUM(D27:D56)</f>
        <v>10081</v>
      </c>
      <c r="E25" s="67">
        <f t="shared" si="8"/>
        <v>11222</v>
      </c>
      <c r="F25" s="67">
        <f t="shared" si="8"/>
        <v>3032</v>
      </c>
      <c r="G25" s="67">
        <f>SUM(G27:G56)</f>
        <v>1886</v>
      </c>
      <c r="H25" s="67">
        <f t="shared" si="8"/>
        <v>0</v>
      </c>
      <c r="I25" s="67"/>
      <c r="J25" s="67">
        <f t="shared" si="8"/>
        <v>2896</v>
      </c>
      <c r="K25" s="67">
        <f t="shared" si="8"/>
        <v>9</v>
      </c>
      <c r="L25" s="67"/>
      <c r="M25" s="67">
        <f t="shared" si="8"/>
        <v>4391</v>
      </c>
      <c r="N25" s="39">
        <f t="shared" si="2"/>
        <v>49562</v>
      </c>
      <c r="O25" s="12"/>
      <c r="P25" s="12"/>
      <c r="Q25" s="12"/>
      <c r="S25" s="22" t="s">
        <v>14</v>
      </c>
      <c r="T25" s="23">
        <f t="shared" si="5"/>
        <v>49562</v>
      </c>
      <c r="U25" s="23">
        <f t="shared" si="6"/>
        <v>1187061</v>
      </c>
      <c r="V25" s="23">
        <f t="shared" si="3"/>
        <v>1236623</v>
      </c>
      <c r="W25" s="23">
        <f>SUM(W27:W56)</f>
        <v>1236623</v>
      </c>
      <c r="X25" s="22">
        <f>V25-W25</f>
        <v>0</v>
      </c>
      <c r="Y25" s="6">
        <f t="shared" si="1"/>
        <v>0</v>
      </c>
    </row>
    <row r="26" spans="1:25" ht="12" customHeight="1">
      <c r="A26" s="2"/>
      <c r="B26" s="9" t="s">
        <v>1</v>
      </c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39">
        <f t="shared" si="2"/>
        <v>0</v>
      </c>
      <c r="O26" s="13"/>
      <c r="P26" s="13"/>
      <c r="Q26" s="13"/>
      <c r="S26" s="20" t="s">
        <v>1</v>
      </c>
      <c r="T26" s="23">
        <f>SUM(T27:T56)</f>
        <v>49562</v>
      </c>
      <c r="U26" s="23">
        <f>SUM(U27:U56)</f>
        <v>1187061</v>
      </c>
      <c r="V26" s="23">
        <f>SUM(V27:V56)</f>
        <v>1236623</v>
      </c>
      <c r="W26" s="23">
        <f>SUM(W27:W56)</f>
        <v>1236623</v>
      </c>
      <c r="X26" s="23">
        <f>SUM(X27:X56)</f>
        <v>0</v>
      </c>
      <c r="Y26" s="6">
        <f t="shared" si="1"/>
        <v>0</v>
      </c>
    </row>
    <row r="27" spans="1:25" ht="12.75">
      <c r="A27" s="2"/>
      <c r="B27" s="9" t="s">
        <v>15</v>
      </c>
      <c r="C27" s="70">
        <v>2802</v>
      </c>
      <c r="D27" s="70">
        <v>100</v>
      </c>
      <c r="E27" s="70">
        <v>6</v>
      </c>
      <c r="F27" s="70">
        <v>21</v>
      </c>
      <c r="G27" s="70">
        <v>35</v>
      </c>
      <c r="H27" s="70"/>
      <c r="I27" s="70"/>
      <c r="J27" s="70">
        <v>4</v>
      </c>
      <c r="K27" s="70"/>
      <c r="L27" s="70"/>
      <c r="M27" s="70">
        <v>25</v>
      </c>
      <c r="N27" s="39">
        <f t="shared" si="2"/>
        <v>2993</v>
      </c>
      <c r="O27" s="14"/>
      <c r="P27" s="14"/>
      <c r="Q27" s="14"/>
      <c r="S27" s="20" t="s">
        <v>15</v>
      </c>
      <c r="T27" s="23">
        <f aca="true" t="shared" si="9" ref="T27:T56">SUM(C27:M27)</f>
        <v>2993</v>
      </c>
      <c r="U27" s="24">
        <f aca="true" t="shared" si="10" ref="U27:U56">W82</f>
        <v>32323</v>
      </c>
      <c r="V27" s="23">
        <f t="shared" si="3"/>
        <v>35316</v>
      </c>
      <c r="W27" s="38">
        <v>35316</v>
      </c>
      <c r="X27" s="20">
        <f>V27-W27</f>
        <v>0</v>
      </c>
      <c r="Y27" s="6">
        <f t="shared" si="1"/>
        <v>0</v>
      </c>
    </row>
    <row r="28" spans="1:25" ht="12.75">
      <c r="A28" s="2"/>
      <c r="B28" s="9" t="s">
        <v>16</v>
      </c>
      <c r="C28" s="70">
        <v>80</v>
      </c>
      <c r="D28" s="70">
        <v>925</v>
      </c>
      <c r="E28" s="70">
        <v>979</v>
      </c>
      <c r="F28" s="70">
        <v>36</v>
      </c>
      <c r="G28" s="70"/>
      <c r="H28" s="70"/>
      <c r="I28" s="70"/>
      <c r="J28" s="70">
        <v>1</v>
      </c>
      <c r="K28" s="70"/>
      <c r="L28" s="70"/>
      <c r="M28" s="66">
        <v>23</v>
      </c>
      <c r="N28" s="39">
        <f t="shared" si="2"/>
        <v>2044</v>
      </c>
      <c r="O28" s="14"/>
      <c r="P28" s="14"/>
      <c r="Q28" s="14"/>
      <c r="S28" s="20" t="s">
        <v>16</v>
      </c>
      <c r="T28" s="23">
        <f t="shared" si="9"/>
        <v>2044</v>
      </c>
      <c r="U28" s="24">
        <f t="shared" si="10"/>
        <v>32570</v>
      </c>
      <c r="V28" s="23">
        <f t="shared" si="3"/>
        <v>34614</v>
      </c>
      <c r="W28" s="38">
        <v>34614</v>
      </c>
      <c r="X28" s="20">
        <f aca="true" t="shared" si="11" ref="X28:X56">V28-W28</f>
        <v>0</v>
      </c>
      <c r="Y28" s="6">
        <f aca="true" t="shared" si="12" ref="Y28:Y56">V28-W28</f>
        <v>0</v>
      </c>
    </row>
    <row r="29" spans="1:25" ht="12.75">
      <c r="A29" s="2"/>
      <c r="B29" s="9" t="s">
        <v>17</v>
      </c>
      <c r="C29" s="71">
        <v>49</v>
      </c>
      <c r="D29" s="71">
        <v>1354</v>
      </c>
      <c r="E29" s="71">
        <v>12</v>
      </c>
      <c r="F29" s="71"/>
      <c r="G29" s="71"/>
      <c r="H29" s="71"/>
      <c r="I29" s="71"/>
      <c r="J29" s="71"/>
      <c r="K29" s="71"/>
      <c r="L29" s="71"/>
      <c r="M29" s="71">
        <v>2344</v>
      </c>
      <c r="N29" s="39">
        <f t="shared" si="2"/>
        <v>3759</v>
      </c>
      <c r="O29" s="27"/>
      <c r="P29" s="27"/>
      <c r="Q29" s="27"/>
      <c r="R29" s="28"/>
      <c r="S29" s="20" t="s">
        <v>17</v>
      </c>
      <c r="T29" s="23">
        <f t="shared" si="9"/>
        <v>3759</v>
      </c>
      <c r="U29" s="24">
        <f t="shared" si="10"/>
        <v>45652</v>
      </c>
      <c r="V29" s="23">
        <f t="shared" si="3"/>
        <v>49411</v>
      </c>
      <c r="W29" s="38">
        <v>49411</v>
      </c>
      <c r="X29" s="20">
        <f t="shared" si="11"/>
        <v>0</v>
      </c>
      <c r="Y29" s="6">
        <f t="shared" si="12"/>
        <v>0</v>
      </c>
    </row>
    <row r="30" spans="1:25" ht="12.75">
      <c r="A30" s="2"/>
      <c r="B30" s="9" t="s">
        <v>18</v>
      </c>
      <c r="C30" s="72">
        <v>97</v>
      </c>
      <c r="D30" s="72">
        <v>170</v>
      </c>
      <c r="E30" s="72">
        <v>8</v>
      </c>
      <c r="F30" s="72"/>
      <c r="G30" s="72"/>
      <c r="H30" s="72"/>
      <c r="I30" s="72"/>
      <c r="J30" s="72">
        <v>4</v>
      </c>
      <c r="K30" s="72"/>
      <c r="L30" s="72"/>
      <c r="M30" s="72">
        <v>31</v>
      </c>
      <c r="N30" s="39">
        <f t="shared" si="2"/>
        <v>310</v>
      </c>
      <c r="O30" s="26"/>
      <c r="P30" s="26"/>
      <c r="Q30" s="26"/>
      <c r="S30" s="20" t="s">
        <v>18</v>
      </c>
      <c r="T30" s="23">
        <f t="shared" si="9"/>
        <v>310</v>
      </c>
      <c r="U30" s="24">
        <f t="shared" si="10"/>
        <v>17936</v>
      </c>
      <c r="V30" s="23">
        <f t="shared" si="3"/>
        <v>18246</v>
      </c>
      <c r="W30" s="38">
        <v>18246</v>
      </c>
      <c r="X30" s="20">
        <f t="shared" si="11"/>
        <v>0</v>
      </c>
      <c r="Y30" s="6">
        <f t="shared" si="12"/>
        <v>0</v>
      </c>
    </row>
    <row r="31" spans="1:25" ht="12.75">
      <c r="A31" s="2"/>
      <c r="B31" s="9" t="s">
        <v>19</v>
      </c>
      <c r="C31" s="70">
        <v>658</v>
      </c>
      <c r="D31" s="70">
        <v>606</v>
      </c>
      <c r="E31" s="70">
        <v>1158</v>
      </c>
      <c r="F31" s="70"/>
      <c r="G31" s="70">
        <v>191</v>
      </c>
      <c r="H31" s="70"/>
      <c r="I31" s="70"/>
      <c r="J31" s="70">
        <v>52</v>
      </c>
      <c r="K31" s="70"/>
      <c r="L31" s="70"/>
      <c r="M31" s="70">
        <v>51</v>
      </c>
      <c r="N31" s="39">
        <f t="shared" si="2"/>
        <v>2716</v>
      </c>
      <c r="O31" s="14"/>
      <c r="P31" s="14"/>
      <c r="Q31" s="14"/>
      <c r="S31" s="20" t="s">
        <v>19</v>
      </c>
      <c r="T31" s="23">
        <f t="shared" si="9"/>
        <v>2716</v>
      </c>
      <c r="U31" s="24">
        <f t="shared" si="10"/>
        <v>49692</v>
      </c>
      <c r="V31" s="23">
        <f t="shared" si="3"/>
        <v>52408</v>
      </c>
      <c r="W31" s="38">
        <v>52408</v>
      </c>
      <c r="X31" s="20">
        <f t="shared" si="11"/>
        <v>0</v>
      </c>
      <c r="Y31" s="6">
        <f t="shared" si="12"/>
        <v>0</v>
      </c>
    </row>
    <row r="32" spans="1:25" ht="12.75">
      <c r="A32" s="2"/>
      <c r="B32" s="9" t="s">
        <v>20</v>
      </c>
      <c r="C32" s="70">
        <v>509</v>
      </c>
      <c r="D32" s="70">
        <v>32</v>
      </c>
      <c r="E32" s="70">
        <v>42</v>
      </c>
      <c r="F32" s="70">
        <v>354</v>
      </c>
      <c r="G32" s="70">
        <v>170</v>
      </c>
      <c r="H32" s="70"/>
      <c r="I32" s="70"/>
      <c r="J32" s="70">
        <v>3</v>
      </c>
      <c r="K32" s="70"/>
      <c r="L32" s="70"/>
      <c r="M32" s="70">
        <v>31</v>
      </c>
      <c r="N32" s="39">
        <f t="shared" si="2"/>
        <v>1141</v>
      </c>
      <c r="O32" s="14"/>
      <c r="P32" s="14"/>
      <c r="Q32" s="14"/>
      <c r="S32" s="20" t="s">
        <v>20</v>
      </c>
      <c r="T32" s="23">
        <f t="shared" si="9"/>
        <v>1141</v>
      </c>
      <c r="U32" s="24">
        <f t="shared" si="10"/>
        <v>81660</v>
      </c>
      <c r="V32" s="23">
        <f t="shared" si="3"/>
        <v>82801</v>
      </c>
      <c r="W32" s="38">
        <v>82801</v>
      </c>
      <c r="X32" s="20">
        <f t="shared" si="11"/>
        <v>0</v>
      </c>
      <c r="Y32" s="6">
        <f t="shared" si="12"/>
        <v>0</v>
      </c>
    </row>
    <row r="33" spans="1:25" ht="12.75">
      <c r="A33" s="2"/>
      <c r="B33" s="9" t="s">
        <v>21</v>
      </c>
      <c r="C33" s="70">
        <v>451</v>
      </c>
      <c r="D33" s="70">
        <v>401</v>
      </c>
      <c r="E33" s="70">
        <v>1498</v>
      </c>
      <c r="F33" s="70">
        <v>107</v>
      </c>
      <c r="G33" s="70"/>
      <c r="H33" s="70"/>
      <c r="I33" s="70"/>
      <c r="J33" s="70">
        <v>1522</v>
      </c>
      <c r="K33" s="70"/>
      <c r="L33" s="70"/>
      <c r="M33" s="70">
        <v>22</v>
      </c>
      <c r="N33" s="39">
        <f t="shared" si="2"/>
        <v>4001</v>
      </c>
      <c r="O33" s="14"/>
      <c r="P33" s="14"/>
      <c r="Q33" s="14"/>
      <c r="S33" s="20" t="s">
        <v>21</v>
      </c>
      <c r="T33" s="23">
        <f t="shared" si="9"/>
        <v>4001</v>
      </c>
      <c r="U33" s="24">
        <f t="shared" si="10"/>
        <v>58124</v>
      </c>
      <c r="V33" s="23">
        <f t="shared" si="3"/>
        <v>62125</v>
      </c>
      <c r="W33" s="38">
        <v>62125</v>
      </c>
      <c r="X33" s="20">
        <f t="shared" si="11"/>
        <v>0</v>
      </c>
      <c r="Y33" s="6">
        <f t="shared" si="12"/>
        <v>0</v>
      </c>
    </row>
    <row r="34" spans="1:25" ht="12.75">
      <c r="A34" s="2"/>
      <c r="B34" s="9" t="s">
        <v>22</v>
      </c>
      <c r="C34" s="70">
        <v>475</v>
      </c>
      <c r="D34" s="70">
        <v>98</v>
      </c>
      <c r="E34" s="70">
        <v>3</v>
      </c>
      <c r="F34" s="70">
        <v>1443</v>
      </c>
      <c r="G34" s="70">
        <v>1</v>
      </c>
      <c r="H34" s="70"/>
      <c r="I34" s="70"/>
      <c r="J34" s="70"/>
      <c r="K34" s="70"/>
      <c r="L34" s="70"/>
      <c r="M34" s="70">
        <v>1</v>
      </c>
      <c r="N34" s="39">
        <f t="shared" si="2"/>
        <v>2021</v>
      </c>
      <c r="O34" s="14"/>
      <c r="P34" s="14"/>
      <c r="Q34" s="14"/>
      <c r="S34" s="20" t="s">
        <v>22</v>
      </c>
      <c r="T34" s="23">
        <f t="shared" si="9"/>
        <v>2021</v>
      </c>
      <c r="U34" s="24">
        <f t="shared" si="10"/>
        <v>34383</v>
      </c>
      <c r="V34" s="23">
        <f t="shared" si="3"/>
        <v>36404</v>
      </c>
      <c r="W34" s="38">
        <v>36404</v>
      </c>
      <c r="X34" s="20">
        <f t="shared" si="11"/>
        <v>0</v>
      </c>
      <c r="Y34" s="6">
        <f t="shared" si="12"/>
        <v>0</v>
      </c>
    </row>
    <row r="35" spans="1:25" ht="12.75">
      <c r="A35" s="2"/>
      <c r="B35" s="9" t="s">
        <v>23</v>
      </c>
      <c r="C35" s="70">
        <v>430</v>
      </c>
      <c r="D35" s="70">
        <v>1176</v>
      </c>
      <c r="E35" s="70">
        <v>89</v>
      </c>
      <c r="F35" s="70">
        <v>326</v>
      </c>
      <c r="G35" s="70">
        <v>2</v>
      </c>
      <c r="H35" s="70"/>
      <c r="I35" s="70"/>
      <c r="J35" s="70">
        <v>1</v>
      </c>
      <c r="K35" s="70"/>
      <c r="L35" s="70"/>
      <c r="M35" s="70">
        <v>46</v>
      </c>
      <c r="N35" s="39">
        <f t="shared" si="2"/>
        <v>2070</v>
      </c>
      <c r="O35" s="14"/>
      <c r="P35" s="14"/>
      <c r="Q35" s="14"/>
      <c r="S35" s="20" t="s">
        <v>23</v>
      </c>
      <c r="T35" s="23">
        <f t="shared" si="9"/>
        <v>2070</v>
      </c>
      <c r="U35" s="24">
        <f t="shared" si="10"/>
        <v>21232</v>
      </c>
      <c r="V35" s="23">
        <f t="shared" si="3"/>
        <v>23302</v>
      </c>
      <c r="W35" s="38">
        <v>23302</v>
      </c>
      <c r="X35" s="20">
        <f t="shared" si="11"/>
        <v>0</v>
      </c>
      <c r="Y35" s="6">
        <f t="shared" si="12"/>
        <v>0</v>
      </c>
    </row>
    <row r="36" spans="1:25" ht="12.75">
      <c r="A36" s="2"/>
      <c r="B36" s="9" t="s">
        <v>24</v>
      </c>
      <c r="C36" s="70">
        <v>523</v>
      </c>
      <c r="D36" s="70">
        <v>38</v>
      </c>
      <c r="E36" s="70">
        <v>11</v>
      </c>
      <c r="F36" s="70">
        <v>9</v>
      </c>
      <c r="G36" s="70"/>
      <c r="H36" s="70"/>
      <c r="I36" s="70"/>
      <c r="J36" s="70">
        <v>1</v>
      </c>
      <c r="K36" s="70"/>
      <c r="L36" s="70"/>
      <c r="M36" s="70">
        <v>22</v>
      </c>
      <c r="N36" s="39">
        <f t="shared" si="2"/>
        <v>604</v>
      </c>
      <c r="O36" s="14"/>
      <c r="P36" s="14"/>
      <c r="Q36" s="14"/>
      <c r="S36" s="20" t="s">
        <v>24</v>
      </c>
      <c r="T36" s="23">
        <f t="shared" si="9"/>
        <v>604</v>
      </c>
      <c r="U36" s="24">
        <f t="shared" si="10"/>
        <v>123692</v>
      </c>
      <c r="V36" s="23">
        <f t="shared" si="3"/>
        <v>124296</v>
      </c>
      <c r="W36" s="38">
        <v>124296</v>
      </c>
      <c r="X36" s="20">
        <f t="shared" si="11"/>
        <v>0</v>
      </c>
      <c r="Y36" s="6">
        <f t="shared" si="12"/>
        <v>0</v>
      </c>
    </row>
    <row r="37" spans="1:25" ht="12.75">
      <c r="A37" s="2"/>
      <c r="B37" s="9" t="s">
        <v>25</v>
      </c>
      <c r="C37" s="70">
        <v>211</v>
      </c>
      <c r="D37" s="70">
        <v>18</v>
      </c>
      <c r="E37" s="70">
        <v>39</v>
      </c>
      <c r="F37" s="70"/>
      <c r="G37" s="70">
        <v>1</v>
      </c>
      <c r="H37" s="70"/>
      <c r="I37" s="70"/>
      <c r="J37" s="70">
        <v>3</v>
      </c>
      <c r="K37" s="70"/>
      <c r="L37" s="70"/>
      <c r="M37" s="70">
        <v>26</v>
      </c>
      <c r="N37" s="39">
        <f t="shared" si="2"/>
        <v>298</v>
      </c>
      <c r="O37" s="14"/>
      <c r="P37" s="14"/>
      <c r="Q37" s="14"/>
      <c r="S37" s="20" t="s">
        <v>25</v>
      </c>
      <c r="T37" s="23">
        <f t="shared" si="9"/>
        <v>298</v>
      </c>
      <c r="U37" s="24">
        <f t="shared" si="10"/>
        <v>52553</v>
      </c>
      <c r="V37" s="23">
        <f t="shared" si="3"/>
        <v>52851</v>
      </c>
      <c r="W37" s="38">
        <v>52851</v>
      </c>
      <c r="X37" s="20">
        <f t="shared" si="11"/>
        <v>0</v>
      </c>
      <c r="Y37" s="6">
        <f t="shared" si="12"/>
        <v>0</v>
      </c>
    </row>
    <row r="38" spans="1:25" ht="12.75">
      <c r="A38" s="2"/>
      <c r="B38" s="9" t="s">
        <v>26</v>
      </c>
      <c r="C38" s="70">
        <v>832</v>
      </c>
      <c r="D38" s="70">
        <v>42</v>
      </c>
      <c r="E38" s="70">
        <v>47</v>
      </c>
      <c r="F38" s="70">
        <v>32</v>
      </c>
      <c r="G38" s="70"/>
      <c r="H38" s="70"/>
      <c r="I38" s="70"/>
      <c r="J38" s="70">
        <v>34</v>
      </c>
      <c r="K38" s="70"/>
      <c r="L38" s="70"/>
      <c r="M38" s="70">
        <v>22</v>
      </c>
      <c r="N38" s="39">
        <f t="shared" si="2"/>
        <v>1009</v>
      </c>
      <c r="O38" s="14"/>
      <c r="P38" s="14"/>
      <c r="Q38" s="14"/>
      <c r="S38" s="20" t="s">
        <v>26</v>
      </c>
      <c r="T38" s="23">
        <f t="shared" si="9"/>
        <v>1009</v>
      </c>
      <c r="U38" s="24">
        <f t="shared" si="10"/>
        <v>6418</v>
      </c>
      <c r="V38" s="23">
        <f t="shared" si="3"/>
        <v>7427</v>
      </c>
      <c r="W38" s="38">
        <v>7427</v>
      </c>
      <c r="X38" s="20">
        <f t="shared" si="11"/>
        <v>0</v>
      </c>
      <c r="Y38" s="6">
        <f t="shared" si="12"/>
        <v>0</v>
      </c>
    </row>
    <row r="39" spans="1:25" ht="12.75">
      <c r="A39" s="2"/>
      <c r="B39" s="9" t="s">
        <v>27</v>
      </c>
      <c r="C39" s="72">
        <v>220</v>
      </c>
      <c r="D39" s="72">
        <v>1460</v>
      </c>
      <c r="E39" s="72">
        <v>298</v>
      </c>
      <c r="F39" s="72">
        <v>86</v>
      </c>
      <c r="G39" s="72"/>
      <c r="H39" s="72"/>
      <c r="I39" s="72"/>
      <c r="J39" s="72">
        <v>171</v>
      </c>
      <c r="K39" s="72"/>
      <c r="L39" s="72"/>
      <c r="M39" s="72">
        <v>1206</v>
      </c>
      <c r="N39" s="39">
        <f t="shared" si="2"/>
        <v>3441</v>
      </c>
      <c r="O39" s="26"/>
      <c r="P39" s="26"/>
      <c r="Q39" s="26"/>
      <c r="R39" s="29"/>
      <c r="S39" s="20" t="s">
        <v>27</v>
      </c>
      <c r="T39" s="23">
        <f t="shared" si="9"/>
        <v>3441</v>
      </c>
      <c r="U39" s="24">
        <f t="shared" si="10"/>
        <v>101529</v>
      </c>
      <c r="V39" s="23">
        <f t="shared" si="3"/>
        <v>104970</v>
      </c>
      <c r="W39" s="38">
        <v>104970</v>
      </c>
      <c r="X39" s="20">
        <f t="shared" si="11"/>
        <v>0</v>
      </c>
      <c r="Y39" s="6">
        <f t="shared" si="12"/>
        <v>0</v>
      </c>
    </row>
    <row r="40" spans="1:25" ht="12.75">
      <c r="A40" s="2"/>
      <c r="B40" s="9" t="s">
        <v>28</v>
      </c>
      <c r="C40" s="70">
        <v>1575</v>
      </c>
      <c r="D40" s="70">
        <v>29</v>
      </c>
      <c r="E40" s="70">
        <v>51</v>
      </c>
      <c r="F40" s="70">
        <v>254</v>
      </c>
      <c r="G40" s="70">
        <v>12</v>
      </c>
      <c r="H40" s="70"/>
      <c r="I40" s="70"/>
      <c r="J40" s="70">
        <v>4</v>
      </c>
      <c r="K40" s="70"/>
      <c r="L40" s="70"/>
      <c r="M40" s="70">
        <v>30</v>
      </c>
      <c r="N40" s="39">
        <f t="shared" si="2"/>
        <v>1955</v>
      </c>
      <c r="O40" s="14"/>
      <c r="P40" s="14"/>
      <c r="Q40" s="14"/>
      <c r="S40" s="20" t="s">
        <v>28</v>
      </c>
      <c r="T40" s="23">
        <f t="shared" si="9"/>
        <v>1955</v>
      </c>
      <c r="U40" s="24">
        <f t="shared" si="10"/>
        <v>75733</v>
      </c>
      <c r="V40" s="23">
        <f t="shared" si="3"/>
        <v>77688</v>
      </c>
      <c r="W40" s="38">
        <v>77688</v>
      </c>
      <c r="X40" s="20">
        <f t="shared" si="11"/>
        <v>0</v>
      </c>
      <c r="Y40" s="6">
        <f t="shared" si="12"/>
        <v>0</v>
      </c>
    </row>
    <row r="41" spans="1:25" ht="12.75">
      <c r="A41" s="2"/>
      <c r="B41" s="9" t="s">
        <v>29</v>
      </c>
      <c r="C41" s="70">
        <v>333</v>
      </c>
      <c r="D41" s="70">
        <v>14</v>
      </c>
      <c r="E41" s="70">
        <v>6</v>
      </c>
      <c r="F41" s="70">
        <v>41</v>
      </c>
      <c r="G41" s="70">
        <v>1</v>
      </c>
      <c r="H41" s="70"/>
      <c r="I41" s="70"/>
      <c r="J41" s="70">
        <v>1</v>
      </c>
      <c r="K41" s="70"/>
      <c r="L41" s="70"/>
      <c r="M41" s="70">
        <v>40</v>
      </c>
      <c r="N41" s="39">
        <f t="shared" si="2"/>
        <v>436</v>
      </c>
      <c r="O41" s="14"/>
      <c r="P41" s="14"/>
      <c r="Q41" s="14"/>
      <c r="S41" s="20" t="s">
        <v>29</v>
      </c>
      <c r="T41" s="23">
        <f t="shared" si="9"/>
        <v>436</v>
      </c>
      <c r="U41" s="24">
        <f t="shared" si="10"/>
        <v>63352</v>
      </c>
      <c r="V41" s="23">
        <f t="shared" si="3"/>
        <v>63788</v>
      </c>
      <c r="W41" s="38">
        <v>63788</v>
      </c>
      <c r="X41" s="20">
        <f t="shared" si="11"/>
        <v>0</v>
      </c>
      <c r="Y41" s="6">
        <f t="shared" si="12"/>
        <v>0</v>
      </c>
    </row>
    <row r="42" spans="1:25" ht="12.75">
      <c r="A42" s="2"/>
      <c r="B42" s="9" t="s">
        <v>30</v>
      </c>
      <c r="C42" s="70">
        <v>1840</v>
      </c>
      <c r="D42" s="70">
        <v>62</v>
      </c>
      <c r="E42" s="70">
        <v>95</v>
      </c>
      <c r="F42" s="70">
        <v>68</v>
      </c>
      <c r="G42" s="70">
        <v>12</v>
      </c>
      <c r="H42" s="70"/>
      <c r="I42" s="70"/>
      <c r="J42" s="70"/>
      <c r="K42" s="70"/>
      <c r="L42" s="70"/>
      <c r="M42" s="70">
        <v>30</v>
      </c>
      <c r="N42" s="39">
        <f t="shared" si="2"/>
        <v>2107</v>
      </c>
      <c r="O42" s="14"/>
      <c r="P42" s="14"/>
      <c r="Q42" s="14"/>
      <c r="S42" s="20" t="s">
        <v>30</v>
      </c>
      <c r="T42" s="23">
        <f t="shared" si="9"/>
        <v>2107</v>
      </c>
      <c r="U42" s="24">
        <f t="shared" si="10"/>
        <v>5837</v>
      </c>
      <c r="V42" s="23">
        <f t="shared" si="3"/>
        <v>7944</v>
      </c>
      <c r="W42" s="38">
        <v>7944</v>
      </c>
      <c r="X42" s="20">
        <f t="shared" si="11"/>
        <v>0</v>
      </c>
      <c r="Y42" s="6">
        <f t="shared" si="12"/>
        <v>0</v>
      </c>
    </row>
    <row r="43" spans="1:25" ht="12.75">
      <c r="A43" s="2"/>
      <c r="B43" s="9" t="s">
        <v>31</v>
      </c>
      <c r="C43" s="70">
        <v>675</v>
      </c>
      <c r="D43" s="70">
        <v>561</v>
      </c>
      <c r="E43" s="70">
        <v>258</v>
      </c>
      <c r="F43" s="70"/>
      <c r="G43" s="70">
        <v>757</v>
      </c>
      <c r="H43" s="70"/>
      <c r="I43" s="70"/>
      <c r="J43" s="70">
        <v>185</v>
      </c>
      <c r="K43" s="70"/>
      <c r="L43" s="70"/>
      <c r="M43" s="70">
        <v>23</v>
      </c>
      <c r="N43" s="39">
        <f t="shared" si="2"/>
        <v>2459</v>
      </c>
      <c r="O43" s="14"/>
      <c r="P43" s="14"/>
      <c r="Q43" s="14"/>
      <c r="S43" s="20" t="s">
        <v>31</v>
      </c>
      <c r="T43" s="23">
        <f t="shared" si="9"/>
        <v>2459</v>
      </c>
      <c r="U43" s="24">
        <f t="shared" si="10"/>
        <v>18834</v>
      </c>
      <c r="V43" s="23">
        <f t="shared" si="3"/>
        <v>21293</v>
      </c>
      <c r="W43" s="38">
        <v>21293</v>
      </c>
      <c r="X43" s="20">
        <f t="shared" si="11"/>
        <v>0</v>
      </c>
      <c r="Y43" s="6">
        <f t="shared" si="12"/>
        <v>0</v>
      </c>
    </row>
    <row r="44" spans="1:25" ht="12.75">
      <c r="A44" s="2"/>
      <c r="B44" s="9" t="s">
        <v>32</v>
      </c>
      <c r="C44" s="70">
        <v>171</v>
      </c>
      <c r="D44" s="70">
        <v>349</v>
      </c>
      <c r="E44" s="70">
        <v>129</v>
      </c>
      <c r="F44" s="70">
        <v>2</v>
      </c>
      <c r="G44" s="70">
        <v>1</v>
      </c>
      <c r="H44" s="70"/>
      <c r="I44" s="70"/>
      <c r="J44" s="70">
        <v>76</v>
      </c>
      <c r="K44" s="70"/>
      <c r="L44" s="70"/>
      <c r="M44" s="70">
        <v>34</v>
      </c>
      <c r="N44" s="39">
        <f t="shared" si="2"/>
        <v>762</v>
      </c>
      <c r="O44" s="14"/>
      <c r="P44" s="14"/>
      <c r="Q44" s="14"/>
      <c r="S44" s="20" t="s">
        <v>32</v>
      </c>
      <c r="T44" s="23">
        <f t="shared" si="9"/>
        <v>762</v>
      </c>
      <c r="U44" s="24">
        <f t="shared" si="10"/>
        <v>21579</v>
      </c>
      <c r="V44" s="23">
        <f t="shared" si="3"/>
        <v>22341</v>
      </c>
      <c r="W44" s="38">
        <v>22341</v>
      </c>
      <c r="X44" s="20">
        <f t="shared" si="11"/>
        <v>0</v>
      </c>
      <c r="Y44" s="6">
        <f t="shared" si="12"/>
        <v>0</v>
      </c>
    </row>
    <row r="45" spans="1:25" ht="12.75">
      <c r="A45" s="2"/>
      <c r="B45" s="9" t="s">
        <v>33</v>
      </c>
      <c r="C45" s="70">
        <v>287</v>
      </c>
      <c r="D45" s="70">
        <v>31</v>
      </c>
      <c r="E45" s="70">
        <v>270</v>
      </c>
      <c r="F45" s="70"/>
      <c r="G45" s="72"/>
      <c r="H45" s="70"/>
      <c r="I45" s="70"/>
      <c r="J45" s="70">
        <v>7</v>
      </c>
      <c r="K45" s="70"/>
      <c r="L45" s="70"/>
      <c r="M45" s="70">
        <v>32</v>
      </c>
      <c r="N45" s="39">
        <f t="shared" si="2"/>
        <v>627</v>
      </c>
      <c r="O45" s="14"/>
      <c r="P45" s="14"/>
      <c r="Q45" s="14"/>
      <c r="S45" s="20" t="s">
        <v>33</v>
      </c>
      <c r="T45" s="23">
        <f t="shared" si="9"/>
        <v>627</v>
      </c>
      <c r="U45" s="24">
        <f t="shared" si="10"/>
        <v>42204</v>
      </c>
      <c r="V45" s="23">
        <f t="shared" si="3"/>
        <v>42831</v>
      </c>
      <c r="W45" s="38">
        <v>42831</v>
      </c>
      <c r="X45" s="20">
        <f t="shared" si="11"/>
        <v>0</v>
      </c>
      <c r="Y45" s="6">
        <f t="shared" si="12"/>
        <v>0</v>
      </c>
    </row>
    <row r="46" spans="1:25" ht="12.75">
      <c r="A46" s="2"/>
      <c r="B46" s="9" t="s">
        <v>34</v>
      </c>
      <c r="C46" s="70">
        <v>606</v>
      </c>
      <c r="D46" s="70">
        <v>19</v>
      </c>
      <c r="E46" s="70">
        <v>27</v>
      </c>
      <c r="F46" s="70">
        <v>2</v>
      </c>
      <c r="G46" s="70">
        <v>4</v>
      </c>
      <c r="H46" s="70"/>
      <c r="I46" s="70"/>
      <c r="J46" s="70"/>
      <c r="K46" s="70"/>
      <c r="L46" s="70"/>
      <c r="M46" s="70">
        <v>1</v>
      </c>
      <c r="N46" s="39">
        <f t="shared" si="2"/>
        <v>659</v>
      </c>
      <c r="O46" s="14"/>
      <c r="P46" s="14"/>
      <c r="Q46" s="14"/>
      <c r="S46" s="20" t="s">
        <v>34</v>
      </c>
      <c r="T46" s="23">
        <f t="shared" si="9"/>
        <v>659</v>
      </c>
      <c r="U46" s="24">
        <f t="shared" si="10"/>
        <v>28028</v>
      </c>
      <c r="V46" s="23">
        <f t="shared" si="3"/>
        <v>28687</v>
      </c>
      <c r="W46" s="38">
        <v>28687</v>
      </c>
      <c r="X46" s="20">
        <f t="shared" si="11"/>
        <v>0</v>
      </c>
      <c r="Y46" s="6">
        <f t="shared" si="12"/>
        <v>0</v>
      </c>
    </row>
    <row r="47" spans="1:25" ht="12.75">
      <c r="A47" s="2"/>
      <c r="B47" s="9" t="s">
        <v>35</v>
      </c>
      <c r="C47" s="70">
        <v>1083</v>
      </c>
      <c r="D47" s="70">
        <v>73</v>
      </c>
      <c r="E47" s="70">
        <v>36</v>
      </c>
      <c r="F47" s="70">
        <v>16</v>
      </c>
      <c r="G47" s="70">
        <v>7</v>
      </c>
      <c r="H47" s="70"/>
      <c r="I47" s="70"/>
      <c r="J47" s="70">
        <v>6</v>
      </c>
      <c r="K47" s="70"/>
      <c r="L47" s="70"/>
      <c r="M47" s="70">
        <v>29</v>
      </c>
      <c r="N47" s="39">
        <f t="shared" si="2"/>
        <v>1250</v>
      </c>
      <c r="O47" s="14"/>
      <c r="P47" s="14"/>
      <c r="Q47" s="14"/>
      <c r="S47" s="20" t="s">
        <v>35</v>
      </c>
      <c r="T47" s="23">
        <f t="shared" si="9"/>
        <v>1250</v>
      </c>
      <c r="U47" s="24">
        <f t="shared" si="10"/>
        <v>27330</v>
      </c>
      <c r="V47" s="23">
        <f t="shared" si="3"/>
        <v>28580</v>
      </c>
      <c r="W47" s="38">
        <v>28580</v>
      </c>
      <c r="X47" s="20">
        <f t="shared" si="11"/>
        <v>0</v>
      </c>
      <c r="Y47" s="6">
        <f t="shared" si="12"/>
        <v>0</v>
      </c>
    </row>
    <row r="48" spans="1:25" ht="12.75">
      <c r="A48" s="2"/>
      <c r="B48" s="9" t="s">
        <v>36</v>
      </c>
      <c r="C48" s="72">
        <v>286</v>
      </c>
      <c r="D48" s="72">
        <v>222</v>
      </c>
      <c r="E48" s="72">
        <v>1655</v>
      </c>
      <c r="F48" s="72">
        <v>17</v>
      </c>
      <c r="G48" s="72"/>
      <c r="H48" s="72"/>
      <c r="I48" s="72"/>
      <c r="J48" s="72">
        <v>605</v>
      </c>
      <c r="K48" s="72"/>
      <c r="L48" s="72"/>
      <c r="M48" s="72">
        <v>33</v>
      </c>
      <c r="N48" s="39">
        <f t="shared" si="2"/>
        <v>2818</v>
      </c>
      <c r="O48" s="26"/>
      <c r="P48" s="26"/>
      <c r="Q48" s="26"/>
      <c r="R48" s="29"/>
      <c r="S48" s="20" t="s">
        <v>36</v>
      </c>
      <c r="T48" s="23">
        <f t="shared" si="9"/>
        <v>2818</v>
      </c>
      <c r="U48" s="24">
        <f t="shared" si="10"/>
        <v>48444</v>
      </c>
      <c r="V48" s="23">
        <f t="shared" si="3"/>
        <v>51262</v>
      </c>
      <c r="W48" s="38">
        <v>51262</v>
      </c>
      <c r="X48" s="20">
        <f t="shared" si="11"/>
        <v>0</v>
      </c>
      <c r="Y48" s="6">
        <f t="shared" si="12"/>
        <v>0</v>
      </c>
    </row>
    <row r="49" spans="1:25" ht="12.75">
      <c r="A49" s="2"/>
      <c r="B49" s="9" t="s">
        <v>37</v>
      </c>
      <c r="C49" s="72">
        <v>365</v>
      </c>
      <c r="D49" s="72">
        <v>115</v>
      </c>
      <c r="E49" s="72">
        <v>55</v>
      </c>
      <c r="F49" s="72"/>
      <c r="G49" s="72">
        <v>47</v>
      </c>
      <c r="H49" s="72"/>
      <c r="I49" s="72"/>
      <c r="J49" s="72"/>
      <c r="K49" s="72"/>
      <c r="L49" s="72"/>
      <c r="M49" s="72">
        <v>28</v>
      </c>
      <c r="N49" s="39">
        <f t="shared" si="2"/>
        <v>610</v>
      </c>
      <c r="O49" s="26"/>
      <c r="P49" s="26"/>
      <c r="Q49" s="26"/>
      <c r="S49" s="20" t="s">
        <v>37</v>
      </c>
      <c r="T49" s="23">
        <f t="shared" si="9"/>
        <v>610</v>
      </c>
      <c r="U49" s="24">
        <f t="shared" si="10"/>
        <v>50347</v>
      </c>
      <c r="V49" s="23">
        <f t="shared" si="3"/>
        <v>50957</v>
      </c>
      <c r="W49" s="38">
        <v>50957</v>
      </c>
      <c r="X49" s="20">
        <f t="shared" si="11"/>
        <v>0</v>
      </c>
      <c r="Y49" s="6">
        <f t="shared" si="12"/>
        <v>0</v>
      </c>
    </row>
    <row r="50" spans="1:25" ht="12.75">
      <c r="A50" s="2"/>
      <c r="B50" s="9" t="s">
        <v>38</v>
      </c>
      <c r="C50" s="70">
        <v>62</v>
      </c>
      <c r="D50" s="70">
        <v>266</v>
      </c>
      <c r="E50" s="70">
        <v>96</v>
      </c>
      <c r="F50" s="70"/>
      <c r="G50" s="70"/>
      <c r="H50" s="70"/>
      <c r="I50" s="70"/>
      <c r="J50" s="70"/>
      <c r="K50" s="70">
        <v>9</v>
      </c>
      <c r="L50" s="70"/>
      <c r="M50" s="70">
        <v>30</v>
      </c>
      <c r="N50" s="39">
        <f t="shared" si="2"/>
        <v>463</v>
      </c>
      <c r="O50" s="14"/>
      <c r="P50" s="14"/>
      <c r="Q50" s="14"/>
      <c r="S50" s="20" t="s">
        <v>38</v>
      </c>
      <c r="T50" s="23">
        <f t="shared" si="9"/>
        <v>463</v>
      </c>
      <c r="U50" s="24">
        <f t="shared" si="10"/>
        <v>30355</v>
      </c>
      <c r="V50" s="23">
        <f t="shared" si="3"/>
        <v>30818</v>
      </c>
      <c r="W50" s="38">
        <v>30818</v>
      </c>
      <c r="X50" s="20">
        <f t="shared" si="11"/>
        <v>0</v>
      </c>
      <c r="Y50" s="6">
        <f t="shared" si="12"/>
        <v>0</v>
      </c>
    </row>
    <row r="51" spans="1:25" ht="12.75">
      <c r="A51" s="2"/>
      <c r="B51" s="9" t="s">
        <v>39</v>
      </c>
      <c r="C51" s="70">
        <v>139</v>
      </c>
      <c r="D51" s="70">
        <v>66</v>
      </c>
      <c r="E51" s="70">
        <v>2</v>
      </c>
      <c r="F51" s="70">
        <v>76</v>
      </c>
      <c r="G51" s="70"/>
      <c r="H51" s="70"/>
      <c r="I51" s="70"/>
      <c r="J51" s="70">
        <v>11</v>
      </c>
      <c r="K51" s="70"/>
      <c r="L51" s="70"/>
      <c r="M51" s="70">
        <v>56</v>
      </c>
      <c r="N51" s="39">
        <f t="shared" si="2"/>
        <v>350</v>
      </c>
      <c r="O51" s="14"/>
      <c r="P51" s="14"/>
      <c r="Q51" s="14"/>
      <c r="S51" s="20" t="s">
        <v>39</v>
      </c>
      <c r="T51" s="23">
        <f t="shared" si="9"/>
        <v>350</v>
      </c>
      <c r="U51" s="24">
        <f t="shared" si="10"/>
        <v>47007</v>
      </c>
      <c r="V51" s="23">
        <f t="shared" si="3"/>
        <v>47357</v>
      </c>
      <c r="W51" s="38">
        <v>47357</v>
      </c>
      <c r="X51" s="20">
        <f t="shared" si="11"/>
        <v>0</v>
      </c>
      <c r="Y51" s="6">
        <f t="shared" si="12"/>
        <v>0</v>
      </c>
    </row>
    <row r="52" spans="1:25" ht="12.75">
      <c r="A52" s="2"/>
      <c r="B52" s="9" t="s">
        <v>40</v>
      </c>
      <c r="C52" s="70">
        <v>192</v>
      </c>
      <c r="D52" s="70">
        <v>318</v>
      </c>
      <c r="E52" s="70">
        <v>373</v>
      </c>
      <c r="F52" s="70"/>
      <c r="G52" s="70">
        <v>2</v>
      </c>
      <c r="H52" s="70"/>
      <c r="I52" s="70"/>
      <c r="J52" s="70">
        <v>65</v>
      </c>
      <c r="K52" s="70"/>
      <c r="L52" s="70"/>
      <c r="M52" s="70">
        <v>53</v>
      </c>
      <c r="N52" s="39">
        <f t="shared" si="2"/>
        <v>1003</v>
      </c>
      <c r="O52" s="14"/>
      <c r="P52" s="14"/>
      <c r="Q52" s="14"/>
      <c r="S52" s="20" t="s">
        <v>40</v>
      </c>
      <c r="T52" s="23">
        <f t="shared" si="9"/>
        <v>1003</v>
      </c>
      <c r="U52" s="24">
        <f t="shared" si="10"/>
        <v>6400</v>
      </c>
      <c r="V52" s="23">
        <f t="shared" si="3"/>
        <v>7403</v>
      </c>
      <c r="W52" s="38">
        <v>7403</v>
      </c>
      <c r="X52" s="20">
        <f t="shared" si="11"/>
        <v>0</v>
      </c>
      <c r="Y52" s="6">
        <f t="shared" si="12"/>
        <v>0</v>
      </c>
    </row>
    <row r="53" spans="1:25" ht="12.75">
      <c r="A53" s="2"/>
      <c r="B53" s="31" t="s">
        <v>41</v>
      </c>
      <c r="C53" s="72">
        <v>460</v>
      </c>
      <c r="D53" s="72">
        <v>627</v>
      </c>
      <c r="E53" s="72">
        <v>516</v>
      </c>
      <c r="F53" s="72">
        <v>141</v>
      </c>
      <c r="G53" s="72">
        <v>255</v>
      </c>
      <c r="H53" s="72"/>
      <c r="I53" s="72"/>
      <c r="J53" s="72">
        <v>109</v>
      </c>
      <c r="K53" s="72"/>
      <c r="L53" s="72"/>
      <c r="M53" s="72">
        <v>26</v>
      </c>
      <c r="N53" s="39">
        <f t="shared" si="2"/>
        <v>2134</v>
      </c>
      <c r="O53" s="26"/>
      <c r="P53" s="26"/>
      <c r="Q53" s="26"/>
      <c r="S53" s="20" t="s">
        <v>41</v>
      </c>
      <c r="T53" s="23">
        <f t="shared" si="9"/>
        <v>2134</v>
      </c>
      <c r="U53" s="24">
        <f t="shared" si="10"/>
        <v>3601</v>
      </c>
      <c r="V53" s="23">
        <f t="shared" si="3"/>
        <v>5735</v>
      </c>
      <c r="W53" s="38">
        <v>5735</v>
      </c>
      <c r="X53" s="20">
        <f t="shared" si="11"/>
        <v>0</v>
      </c>
      <c r="Y53" s="6">
        <f t="shared" si="12"/>
        <v>0</v>
      </c>
    </row>
    <row r="54" spans="1:25" ht="12.75">
      <c r="A54" s="2"/>
      <c r="B54" s="9" t="s">
        <v>65</v>
      </c>
      <c r="C54" s="70">
        <v>155</v>
      </c>
      <c r="D54" s="70">
        <v>305</v>
      </c>
      <c r="E54" s="70">
        <v>558</v>
      </c>
      <c r="F54" s="70">
        <v>1</v>
      </c>
      <c r="G54" s="70">
        <v>57</v>
      </c>
      <c r="H54" s="70"/>
      <c r="I54" s="70"/>
      <c r="J54" s="70"/>
      <c r="K54" s="70"/>
      <c r="L54" s="70"/>
      <c r="M54" s="70">
        <v>32</v>
      </c>
      <c r="N54" s="39">
        <f t="shared" si="2"/>
        <v>1108</v>
      </c>
      <c r="O54" s="14"/>
      <c r="P54" s="14"/>
      <c r="Q54" s="14"/>
      <c r="S54" s="20" t="s">
        <v>65</v>
      </c>
      <c r="T54" s="23">
        <f t="shared" si="9"/>
        <v>1108</v>
      </c>
      <c r="U54" s="24">
        <f t="shared" si="10"/>
        <v>15673</v>
      </c>
      <c r="V54" s="23">
        <f t="shared" si="3"/>
        <v>16781</v>
      </c>
      <c r="W54" s="38">
        <v>16781</v>
      </c>
      <c r="X54" s="20">
        <f t="shared" si="11"/>
        <v>0</v>
      </c>
      <c r="Y54" s="6">
        <f t="shared" si="12"/>
        <v>0</v>
      </c>
    </row>
    <row r="55" spans="1:25" ht="12.75">
      <c r="A55" s="2"/>
      <c r="B55" s="9" t="s">
        <v>42</v>
      </c>
      <c r="C55" s="70">
        <v>76</v>
      </c>
      <c r="D55" s="70">
        <v>383</v>
      </c>
      <c r="E55" s="70">
        <v>2071</v>
      </c>
      <c r="F55" s="70"/>
      <c r="G55" s="70"/>
      <c r="H55" s="70"/>
      <c r="I55" s="70"/>
      <c r="J55" s="70">
        <v>27</v>
      </c>
      <c r="K55" s="70"/>
      <c r="L55" s="70"/>
      <c r="M55" s="70">
        <v>32</v>
      </c>
      <c r="N55" s="39">
        <f t="shared" si="2"/>
        <v>2589</v>
      </c>
      <c r="O55" s="14"/>
      <c r="P55" s="14"/>
      <c r="Q55" s="14"/>
      <c r="R55" s="7"/>
      <c r="S55" s="25" t="s">
        <v>42</v>
      </c>
      <c r="T55" s="23">
        <f t="shared" si="9"/>
        <v>2589</v>
      </c>
      <c r="U55" s="24">
        <f t="shared" si="10"/>
        <v>35800</v>
      </c>
      <c r="V55" s="23">
        <f t="shared" si="3"/>
        <v>38389</v>
      </c>
      <c r="W55" s="38">
        <v>38389</v>
      </c>
      <c r="X55" s="20">
        <f t="shared" si="11"/>
        <v>0</v>
      </c>
      <c r="Y55" s="6">
        <f t="shared" si="12"/>
        <v>0</v>
      </c>
    </row>
    <row r="56" spans="1:25" s="17" customFormat="1" ht="12.75">
      <c r="A56" s="15"/>
      <c r="B56" s="16" t="s">
        <v>43</v>
      </c>
      <c r="C56" s="73">
        <v>403</v>
      </c>
      <c r="D56" s="73">
        <v>221</v>
      </c>
      <c r="E56" s="73">
        <v>834</v>
      </c>
      <c r="F56" s="73"/>
      <c r="G56" s="73">
        <v>331</v>
      </c>
      <c r="H56" s="73"/>
      <c r="I56" s="73"/>
      <c r="J56" s="73">
        <v>4</v>
      </c>
      <c r="K56" s="73"/>
      <c r="L56" s="73"/>
      <c r="M56" s="73">
        <v>32</v>
      </c>
      <c r="N56" s="39">
        <f t="shared" si="2"/>
        <v>1825</v>
      </c>
      <c r="O56" s="32"/>
      <c r="P56" s="32"/>
      <c r="Q56" s="32"/>
      <c r="S56" s="20" t="s">
        <v>43</v>
      </c>
      <c r="T56" s="23">
        <f t="shared" si="9"/>
        <v>1825</v>
      </c>
      <c r="U56" s="24">
        <f t="shared" si="10"/>
        <v>8773</v>
      </c>
      <c r="V56" s="23">
        <f t="shared" si="3"/>
        <v>10598</v>
      </c>
      <c r="W56" s="38">
        <v>10598</v>
      </c>
      <c r="X56" s="20">
        <f t="shared" si="11"/>
        <v>0</v>
      </c>
      <c r="Y56" s="6">
        <f t="shared" si="12"/>
        <v>0</v>
      </c>
    </row>
    <row r="57" spans="1:23" ht="12.75">
      <c r="A57" s="2"/>
      <c r="B57" s="95" t="s">
        <v>85</v>
      </c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40"/>
      <c r="O57" s="33"/>
      <c r="P57" s="33"/>
      <c r="Q57" s="33"/>
      <c r="T57" s="18"/>
      <c r="U57" s="18"/>
      <c r="V57" s="18"/>
      <c r="W57" s="18"/>
    </row>
    <row r="58" spans="1:23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30"/>
      <c r="O58" s="2"/>
      <c r="P58" s="2"/>
      <c r="Q58" s="2"/>
      <c r="T58" s="18"/>
      <c r="U58" s="18"/>
      <c r="V58" s="18"/>
      <c r="W58" s="18"/>
    </row>
    <row r="59" spans="1:23" ht="18">
      <c r="A59" s="2"/>
      <c r="B59" s="96" t="s">
        <v>56</v>
      </c>
      <c r="C59" s="96"/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41"/>
      <c r="O59" s="34"/>
      <c r="P59" s="34"/>
      <c r="Q59" s="34"/>
      <c r="T59" s="18"/>
      <c r="U59" s="18"/>
      <c r="V59" s="18"/>
      <c r="W59" s="18"/>
    </row>
    <row r="60" spans="1:23" ht="18">
      <c r="A60" s="2"/>
      <c r="B60" s="96" t="s">
        <v>58</v>
      </c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41"/>
      <c r="O60" s="34"/>
      <c r="P60" s="34"/>
      <c r="Q60" s="34"/>
      <c r="T60" s="18"/>
      <c r="U60" s="18"/>
      <c r="V60" s="18"/>
      <c r="W60" s="18"/>
    </row>
    <row r="61" spans="1:23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30"/>
      <c r="O61" s="2"/>
      <c r="P61" s="2"/>
      <c r="Q61" s="2"/>
      <c r="T61" s="18"/>
      <c r="U61" s="18"/>
      <c r="V61" s="18"/>
      <c r="W61" s="18"/>
    </row>
    <row r="62" spans="1:23" ht="12.75">
      <c r="A62" s="2"/>
      <c r="B62" s="84"/>
      <c r="C62" s="97" t="s">
        <v>72</v>
      </c>
      <c r="D62" s="85"/>
      <c r="E62" s="86"/>
      <c r="F62" s="87"/>
      <c r="G62" s="88"/>
      <c r="H62" s="85"/>
      <c r="I62" s="87"/>
      <c r="J62" s="88"/>
      <c r="K62" s="88" t="s">
        <v>62</v>
      </c>
      <c r="L62" s="100" t="s">
        <v>53</v>
      </c>
      <c r="M62" s="101"/>
      <c r="N62" s="43"/>
      <c r="O62" s="35"/>
      <c r="P62" s="35"/>
      <c r="Q62" s="35"/>
      <c r="T62" s="19" t="s">
        <v>0</v>
      </c>
      <c r="U62" s="18"/>
      <c r="V62" s="18"/>
      <c r="W62" s="18"/>
    </row>
    <row r="63" spans="1:23" ht="12.75">
      <c r="A63" s="2"/>
      <c r="B63" s="89" t="s">
        <v>0</v>
      </c>
      <c r="C63" s="98"/>
      <c r="D63" s="80" t="s">
        <v>44</v>
      </c>
      <c r="E63" s="82"/>
      <c r="F63" s="81"/>
      <c r="G63" s="91" t="s">
        <v>61</v>
      </c>
      <c r="H63" s="102" t="s">
        <v>45</v>
      </c>
      <c r="I63" s="79"/>
      <c r="J63" s="92" t="s">
        <v>46</v>
      </c>
      <c r="K63" s="92" t="s">
        <v>63</v>
      </c>
      <c r="L63" s="102"/>
      <c r="M63" s="79"/>
      <c r="N63" s="43"/>
      <c r="O63" s="35"/>
      <c r="P63" s="35"/>
      <c r="Q63" s="35"/>
      <c r="T63" s="18"/>
      <c r="U63" s="18"/>
      <c r="V63" s="18"/>
      <c r="W63" s="18"/>
    </row>
    <row r="64" spans="1:23" ht="12.75">
      <c r="A64" s="2"/>
      <c r="B64" s="90" t="s">
        <v>47</v>
      </c>
      <c r="C64" s="99"/>
      <c r="D64" s="93" t="s">
        <v>48</v>
      </c>
      <c r="E64" s="93" t="s">
        <v>49</v>
      </c>
      <c r="F64" s="93" t="s">
        <v>50</v>
      </c>
      <c r="G64" s="94" t="s">
        <v>51</v>
      </c>
      <c r="H64" s="80" t="s">
        <v>8</v>
      </c>
      <c r="I64" s="81"/>
      <c r="J64" s="94" t="s">
        <v>52</v>
      </c>
      <c r="K64" s="94" t="s">
        <v>64</v>
      </c>
      <c r="L64" s="80"/>
      <c r="M64" s="81"/>
      <c r="N64" s="43"/>
      <c r="O64" s="35"/>
      <c r="P64" s="35"/>
      <c r="Q64" s="35"/>
      <c r="T64" s="18"/>
      <c r="U64" s="18"/>
      <c r="V64" s="18"/>
      <c r="W64" s="18"/>
    </row>
    <row r="65" spans="1:23" ht="12.75">
      <c r="A65" s="2"/>
      <c r="B65" s="3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44"/>
      <c r="O65" s="36"/>
      <c r="P65" s="36"/>
      <c r="Q65" s="36"/>
      <c r="T65" s="18"/>
      <c r="U65" s="18"/>
      <c r="V65" s="18"/>
      <c r="W65" s="18"/>
    </row>
    <row r="66" spans="1:27" s="6" customFormat="1" ht="12.75">
      <c r="A66" s="5"/>
      <c r="B66" s="8" t="s">
        <v>9</v>
      </c>
      <c r="C66" s="67">
        <f>SUM(C68+C80)</f>
        <v>272929</v>
      </c>
      <c r="D66" s="67">
        <f aca="true" t="shared" si="13" ref="D66:K66">SUM(D68+D80)</f>
        <v>8</v>
      </c>
      <c r="E66" s="67">
        <f t="shared" si="13"/>
        <v>0</v>
      </c>
      <c r="F66" s="67">
        <f t="shared" si="13"/>
        <v>14527</v>
      </c>
      <c r="G66" s="67">
        <f t="shared" si="13"/>
        <v>14758</v>
      </c>
      <c r="H66" s="67"/>
      <c r="I66" s="67">
        <f t="shared" si="13"/>
        <v>0</v>
      </c>
      <c r="J66" s="67">
        <f t="shared" si="13"/>
        <v>1318307</v>
      </c>
      <c r="K66" s="67">
        <f t="shared" si="13"/>
        <v>1084</v>
      </c>
      <c r="L66" s="67"/>
      <c r="M66" s="67">
        <f>O66</f>
        <v>1721234</v>
      </c>
      <c r="N66" s="46">
        <f>SUM(C66:K66)</f>
        <v>1621613</v>
      </c>
      <c r="O66" s="52">
        <f>N11+N66</f>
        <v>1721234</v>
      </c>
      <c r="P66" s="53">
        <f>M66-O66</f>
        <v>0</v>
      </c>
      <c r="Q66" s="54"/>
      <c r="R66" s="55"/>
      <c r="S66" s="56">
        <f>SUM(C11:M11)</f>
        <v>99621</v>
      </c>
      <c r="T66" s="57">
        <f>SUM(C66:K66)</f>
        <v>1621613</v>
      </c>
      <c r="U66" s="57">
        <f>S66+T66</f>
        <v>1721234</v>
      </c>
      <c r="V66" s="57">
        <f>M66-U66</f>
        <v>0</v>
      </c>
      <c r="W66" s="58">
        <f aca="true" t="shared" si="14" ref="W66:W111">SUM(C66:K66)</f>
        <v>1621613</v>
      </c>
      <c r="X66" s="59"/>
      <c r="Y66" s="59"/>
      <c r="Z66" s="59"/>
      <c r="AA66" s="59"/>
    </row>
    <row r="67" spans="1:27" ht="12.75">
      <c r="A67" s="2"/>
      <c r="B67" s="9" t="s">
        <v>1</v>
      </c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>
        <v>0</v>
      </c>
      <c r="N67" s="46">
        <f aca="true" t="shared" si="15" ref="N67:N111">SUM(C67:K67)</f>
        <v>0</v>
      </c>
      <c r="O67" s="52">
        <f aca="true" t="shared" si="16" ref="O67:O111">N12+N67</f>
        <v>0</v>
      </c>
      <c r="P67" s="53">
        <f aca="true" t="shared" si="17" ref="P67:P111">M67-O67</f>
        <v>0</v>
      </c>
      <c r="Q67" s="48"/>
      <c r="R67" s="60"/>
      <c r="S67" s="56">
        <f aca="true" t="shared" si="18" ref="S67:S111">SUM(C12:M12)</f>
        <v>0</v>
      </c>
      <c r="T67" s="57">
        <f aca="true" t="shared" si="19" ref="T67:T111">SUM(C67:K67)</f>
        <v>0</v>
      </c>
      <c r="U67" s="57">
        <f aca="true" t="shared" si="20" ref="U67:U111">S67+T67</f>
        <v>0</v>
      </c>
      <c r="V67" s="57">
        <f aca="true" t="shared" si="21" ref="V67:V111">M67-U67</f>
        <v>0</v>
      </c>
      <c r="W67" s="58">
        <f t="shared" si="14"/>
        <v>0</v>
      </c>
      <c r="X67" s="60"/>
      <c r="Y67" s="60"/>
      <c r="Z67" s="60"/>
      <c r="AA67" s="60"/>
    </row>
    <row r="68" spans="1:27" s="6" customFormat="1" ht="12.75">
      <c r="A68" s="5"/>
      <c r="B68" s="8" t="s">
        <v>10</v>
      </c>
      <c r="C68" s="67">
        <f>SUM(C71:C78)</f>
        <v>10338</v>
      </c>
      <c r="D68" s="67"/>
      <c r="E68" s="67">
        <f aca="true" t="shared" si="22" ref="E68:K68">SUM(E71:E78)</f>
        <v>0</v>
      </c>
      <c r="F68" s="67">
        <f t="shared" si="22"/>
        <v>10535</v>
      </c>
      <c r="G68" s="67">
        <f t="shared" si="22"/>
        <v>5210</v>
      </c>
      <c r="H68" s="67"/>
      <c r="I68" s="67">
        <f t="shared" si="22"/>
        <v>0</v>
      </c>
      <c r="J68" s="67">
        <f t="shared" si="22"/>
        <v>407386</v>
      </c>
      <c r="K68" s="67">
        <f t="shared" si="22"/>
        <v>1083</v>
      </c>
      <c r="L68" s="67"/>
      <c r="M68" s="67">
        <f>O68</f>
        <v>484611</v>
      </c>
      <c r="N68" s="46">
        <f t="shared" si="15"/>
        <v>434552</v>
      </c>
      <c r="O68" s="52">
        <f t="shared" si="16"/>
        <v>484611</v>
      </c>
      <c r="P68" s="53">
        <f t="shared" si="17"/>
        <v>0</v>
      </c>
      <c r="Q68" s="54"/>
      <c r="R68" s="59"/>
      <c r="S68" s="56">
        <f t="shared" si="18"/>
        <v>50059</v>
      </c>
      <c r="T68" s="57">
        <f t="shared" si="19"/>
        <v>434552</v>
      </c>
      <c r="U68" s="57">
        <f t="shared" si="20"/>
        <v>484611</v>
      </c>
      <c r="V68" s="57">
        <f t="shared" si="21"/>
        <v>0</v>
      </c>
      <c r="W68" s="58">
        <f t="shared" si="14"/>
        <v>434552</v>
      </c>
      <c r="X68" s="59"/>
      <c r="Y68" s="59"/>
      <c r="Z68" s="59"/>
      <c r="AA68" s="59"/>
    </row>
    <row r="69" spans="1:27" ht="3.75" customHeight="1">
      <c r="A69" s="2"/>
      <c r="B69" s="9" t="s">
        <v>1</v>
      </c>
      <c r="C69" s="70"/>
      <c r="D69" s="69"/>
      <c r="E69" s="69"/>
      <c r="F69" s="69"/>
      <c r="G69" s="69"/>
      <c r="H69" s="69"/>
      <c r="I69" s="69"/>
      <c r="J69" s="69"/>
      <c r="K69" s="69"/>
      <c r="L69" s="69"/>
      <c r="M69" s="72"/>
      <c r="N69" s="46">
        <f t="shared" si="15"/>
        <v>0</v>
      </c>
      <c r="O69" s="52">
        <f t="shared" si="16"/>
        <v>0</v>
      </c>
      <c r="P69" s="53">
        <f t="shared" si="17"/>
        <v>0</v>
      </c>
      <c r="Q69" s="47"/>
      <c r="R69" s="60"/>
      <c r="S69" s="56">
        <f t="shared" si="18"/>
        <v>0</v>
      </c>
      <c r="T69" s="57">
        <f t="shared" si="19"/>
        <v>0</v>
      </c>
      <c r="U69" s="57">
        <f t="shared" si="20"/>
        <v>0</v>
      </c>
      <c r="V69" s="57">
        <f t="shared" si="21"/>
        <v>0</v>
      </c>
      <c r="W69" s="58">
        <f t="shared" si="14"/>
        <v>0</v>
      </c>
      <c r="X69" s="60"/>
      <c r="Y69" s="60"/>
      <c r="Z69" s="60"/>
      <c r="AA69" s="60"/>
    </row>
    <row r="70" spans="1:27" ht="12.75">
      <c r="A70" s="2"/>
      <c r="B70" s="9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8">
        <v>0</v>
      </c>
      <c r="N70" s="46">
        <f t="shared" si="15"/>
        <v>0</v>
      </c>
      <c r="O70" s="52">
        <f t="shared" si="16"/>
        <v>0</v>
      </c>
      <c r="P70" s="53">
        <f t="shared" si="17"/>
        <v>0</v>
      </c>
      <c r="Q70" s="48"/>
      <c r="R70" s="60"/>
      <c r="S70" s="56">
        <f t="shared" si="18"/>
        <v>0</v>
      </c>
      <c r="T70" s="57">
        <f t="shared" si="19"/>
        <v>0</v>
      </c>
      <c r="U70" s="57">
        <f t="shared" si="20"/>
        <v>0</v>
      </c>
      <c r="V70" s="57">
        <f t="shared" si="21"/>
        <v>0</v>
      </c>
      <c r="W70" s="58">
        <f t="shared" si="14"/>
        <v>0</v>
      </c>
      <c r="X70" s="60"/>
      <c r="Y70" s="60"/>
      <c r="Z70" s="60"/>
      <c r="AA70" s="60"/>
    </row>
    <row r="71" spans="1:27" ht="12.75">
      <c r="A71" s="2"/>
      <c r="B71" s="9" t="s">
        <v>66</v>
      </c>
      <c r="C71" s="74">
        <f>860+1089+4561+257+999+63+555+38+464</f>
        <v>8886</v>
      </c>
      <c r="D71" s="76"/>
      <c r="E71" s="76"/>
      <c r="F71" s="76">
        <f>1388+4901</f>
        <v>6289</v>
      </c>
      <c r="G71" s="76">
        <f>4362+278</f>
        <v>4640</v>
      </c>
      <c r="H71" s="76"/>
      <c r="I71" s="74"/>
      <c r="J71" s="74">
        <v>326959</v>
      </c>
      <c r="K71" s="76">
        <f>707+2</f>
        <v>709</v>
      </c>
      <c r="L71" s="70"/>
      <c r="M71" s="72">
        <f>O71</f>
        <v>369697</v>
      </c>
      <c r="N71" s="46">
        <f t="shared" si="15"/>
        <v>347483</v>
      </c>
      <c r="O71" s="52">
        <f t="shared" si="16"/>
        <v>369697</v>
      </c>
      <c r="P71" s="53">
        <f t="shared" si="17"/>
        <v>0</v>
      </c>
      <c r="Q71" s="47"/>
      <c r="R71" s="60"/>
      <c r="S71" s="56">
        <f t="shared" si="18"/>
        <v>22214</v>
      </c>
      <c r="T71" s="57">
        <f t="shared" si="19"/>
        <v>347483</v>
      </c>
      <c r="U71" s="57">
        <f t="shared" si="20"/>
        <v>369697</v>
      </c>
      <c r="V71" s="57">
        <f t="shared" si="21"/>
        <v>0</v>
      </c>
      <c r="W71" s="58">
        <f t="shared" si="14"/>
        <v>347483</v>
      </c>
      <c r="X71" s="60"/>
      <c r="Y71" s="60"/>
      <c r="Z71" s="60"/>
      <c r="AA71" s="60"/>
    </row>
    <row r="72" spans="1:27" ht="12.75">
      <c r="A72" s="2"/>
      <c r="B72" s="9" t="s">
        <v>11</v>
      </c>
      <c r="C72" s="76"/>
      <c r="D72" s="76"/>
      <c r="E72" s="76"/>
      <c r="F72" s="76">
        <f>78+599</f>
        <v>677</v>
      </c>
      <c r="G72" s="76"/>
      <c r="H72" s="76"/>
      <c r="I72" s="76"/>
      <c r="J72" s="76">
        <v>6329</v>
      </c>
      <c r="K72" s="76">
        <v>47</v>
      </c>
      <c r="L72" s="76"/>
      <c r="M72" s="72">
        <f aca="true" t="shared" si="23" ref="M72:M83">O72</f>
        <v>7774</v>
      </c>
      <c r="N72" s="46">
        <f t="shared" si="15"/>
        <v>7053</v>
      </c>
      <c r="O72" s="52">
        <f t="shared" si="16"/>
        <v>7774</v>
      </c>
      <c r="P72" s="53">
        <f t="shared" si="17"/>
        <v>0</v>
      </c>
      <c r="Q72" s="47"/>
      <c r="R72" s="60"/>
      <c r="S72" s="56">
        <f t="shared" si="18"/>
        <v>721</v>
      </c>
      <c r="T72" s="57">
        <f t="shared" si="19"/>
        <v>7053</v>
      </c>
      <c r="U72" s="57">
        <f t="shared" si="20"/>
        <v>7774</v>
      </c>
      <c r="V72" s="57">
        <f t="shared" si="21"/>
        <v>0</v>
      </c>
      <c r="W72" s="58">
        <f t="shared" si="14"/>
        <v>7053</v>
      </c>
      <c r="X72" s="60"/>
      <c r="Y72" s="60"/>
      <c r="Z72" s="60"/>
      <c r="AA72" s="60"/>
    </row>
    <row r="73" spans="1:27" ht="12.75">
      <c r="A73" s="2"/>
      <c r="B73" s="9" t="s">
        <v>12</v>
      </c>
      <c r="C73" s="76">
        <f>7+1+1</f>
        <v>9</v>
      </c>
      <c r="D73" s="76"/>
      <c r="E73" s="76"/>
      <c r="F73" s="76">
        <v>1135</v>
      </c>
      <c r="G73" s="76">
        <v>570</v>
      </c>
      <c r="H73" s="76"/>
      <c r="I73" s="76"/>
      <c r="J73" s="76">
        <v>0</v>
      </c>
      <c r="K73" s="77"/>
      <c r="L73" s="76"/>
      <c r="M73" s="72">
        <f t="shared" si="23"/>
        <v>4137</v>
      </c>
      <c r="N73" s="46">
        <f t="shared" si="15"/>
        <v>1714</v>
      </c>
      <c r="O73" s="52">
        <f t="shared" si="16"/>
        <v>4137</v>
      </c>
      <c r="P73" s="53">
        <f t="shared" si="17"/>
        <v>0</v>
      </c>
      <c r="Q73" s="47"/>
      <c r="R73" s="60"/>
      <c r="S73" s="56">
        <f t="shared" si="18"/>
        <v>2423</v>
      </c>
      <c r="T73" s="57">
        <f t="shared" si="19"/>
        <v>1714</v>
      </c>
      <c r="U73" s="57">
        <f t="shared" si="20"/>
        <v>4137</v>
      </c>
      <c r="V73" s="57">
        <f t="shared" si="21"/>
        <v>0</v>
      </c>
      <c r="W73" s="58">
        <f t="shared" si="14"/>
        <v>1714</v>
      </c>
      <c r="X73" s="60"/>
      <c r="Y73" s="60"/>
      <c r="Z73" s="60"/>
      <c r="AA73" s="60"/>
    </row>
    <row r="74" spans="1:27" ht="12.75">
      <c r="A74" s="2"/>
      <c r="B74" s="9" t="s">
        <v>13</v>
      </c>
      <c r="C74" s="77"/>
      <c r="D74" s="77"/>
      <c r="E74" s="77"/>
      <c r="F74" s="77">
        <v>299</v>
      </c>
      <c r="G74" s="77"/>
      <c r="H74" s="77"/>
      <c r="I74" s="77"/>
      <c r="J74" s="77">
        <v>8312</v>
      </c>
      <c r="K74" s="78"/>
      <c r="L74" s="77"/>
      <c r="M74" s="72">
        <f t="shared" si="23"/>
        <v>12393</v>
      </c>
      <c r="N74" s="46">
        <f t="shared" si="15"/>
        <v>8611</v>
      </c>
      <c r="O74" s="52">
        <f t="shared" si="16"/>
        <v>12393</v>
      </c>
      <c r="P74" s="53">
        <f t="shared" si="17"/>
        <v>0</v>
      </c>
      <c r="Q74" s="50"/>
      <c r="R74" s="60"/>
      <c r="S74" s="56">
        <f t="shared" si="18"/>
        <v>3782</v>
      </c>
      <c r="T74" s="57">
        <f t="shared" si="19"/>
        <v>8611</v>
      </c>
      <c r="U74" s="57">
        <f t="shared" si="20"/>
        <v>12393</v>
      </c>
      <c r="V74" s="57">
        <f t="shared" si="21"/>
        <v>0</v>
      </c>
      <c r="W74" s="58">
        <f t="shared" si="14"/>
        <v>8611</v>
      </c>
      <c r="X74" s="60"/>
      <c r="Y74" s="60"/>
      <c r="Z74" s="60"/>
      <c r="AA74" s="60"/>
    </row>
    <row r="75" spans="1:27" ht="12.75">
      <c r="A75" s="2"/>
      <c r="B75" s="9" t="s">
        <v>79</v>
      </c>
      <c r="C75" s="76">
        <f>98+31+814</f>
        <v>943</v>
      </c>
      <c r="D75" s="76"/>
      <c r="E75" s="76"/>
      <c r="F75" s="76">
        <f>72+1253</f>
        <v>1325</v>
      </c>
      <c r="G75" s="76"/>
      <c r="H75" s="76"/>
      <c r="I75" s="76"/>
      <c r="J75" s="76">
        <v>15357</v>
      </c>
      <c r="K75" s="76">
        <v>85</v>
      </c>
      <c r="L75" s="76"/>
      <c r="M75" s="72">
        <f t="shared" si="23"/>
        <v>20503</v>
      </c>
      <c r="N75" s="46">
        <f t="shared" si="15"/>
        <v>17710</v>
      </c>
      <c r="O75" s="52">
        <f t="shared" si="16"/>
        <v>20503</v>
      </c>
      <c r="P75" s="53">
        <f t="shared" si="17"/>
        <v>0</v>
      </c>
      <c r="Q75" s="47"/>
      <c r="R75" s="60"/>
      <c r="S75" s="56">
        <f t="shared" si="18"/>
        <v>2793</v>
      </c>
      <c r="T75" s="57">
        <f t="shared" si="19"/>
        <v>17710</v>
      </c>
      <c r="U75" s="57">
        <f t="shared" si="20"/>
        <v>20503</v>
      </c>
      <c r="V75" s="57">
        <f t="shared" si="21"/>
        <v>0</v>
      </c>
      <c r="W75" s="58">
        <f t="shared" si="14"/>
        <v>17710</v>
      </c>
      <c r="X75" s="60"/>
      <c r="Y75" s="60"/>
      <c r="Z75" s="60"/>
      <c r="AA75" s="60"/>
    </row>
    <row r="76" spans="1:27" ht="12.75">
      <c r="A76" s="2"/>
      <c r="B76" s="9" t="s">
        <v>80</v>
      </c>
      <c r="C76" s="76">
        <f>26+388+41+23+22</f>
        <v>500</v>
      </c>
      <c r="D76" s="76"/>
      <c r="E76" s="76"/>
      <c r="F76" s="76">
        <f>68+279</f>
        <v>347</v>
      </c>
      <c r="G76" s="76"/>
      <c r="H76" s="76"/>
      <c r="I76" s="76"/>
      <c r="J76" s="74">
        <v>29066</v>
      </c>
      <c r="K76" s="76">
        <v>72</v>
      </c>
      <c r="L76" s="76"/>
      <c r="M76" s="72">
        <f t="shared" si="23"/>
        <v>33377</v>
      </c>
      <c r="N76" s="46">
        <f t="shared" si="15"/>
        <v>29985</v>
      </c>
      <c r="O76" s="52">
        <f t="shared" si="16"/>
        <v>33377</v>
      </c>
      <c r="P76" s="53">
        <f t="shared" si="17"/>
        <v>0</v>
      </c>
      <c r="Q76" s="47"/>
      <c r="R76" s="60"/>
      <c r="S76" s="56">
        <f t="shared" si="18"/>
        <v>3392</v>
      </c>
      <c r="T76" s="57">
        <f t="shared" si="19"/>
        <v>29985</v>
      </c>
      <c r="U76" s="57">
        <f t="shared" si="20"/>
        <v>33377</v>
      </c>
      <c r="V76" s="57">
        <f t="shared" si="21"/>
        <v>0</v>
      </c>
      <c r="W76" s="58">
        <f t="shared" si="14"/>
        <v>29985</v>
      </c>
      <c r="X76" s="60"/>
      <c r="Y76" s="60"/>
      <c r="Z76" s="60"/>
      <c r="AA76" s="60"/>
    </row>
    <row r="77" spans="1:27" ht="12.75">
      <c r="A77" s="2"/>
      <c r="B77" s="9" t="s">
        <v>69</v>
      </c>
      <c r="C77" s="76"/>
      <c r="D77" s="76"/>
      <c r="E77" s="76"/>
      <c r="F77" s="76">
        <v>172</v>
      </c>
      <c r="G77" s="76"/>
      <c r="H77" s="76"/>
      <c r="I77" s="76"/>
      <c r="J77" s="76">
        <v>10510</v>
      </c>
      <c r="K77" s="76"/>
      <c r="L77" s="76"/>
      <c r="M77" s="72">
        <f t="shared" si="23"/>
        <v>21421</v>
      </c>
      <c r="N77" s="46">
        <f t="shared" si="15"/>
        <v>10682</v>
      </c>
      <c r="O77" s="52">
        <f t="shared" si="16"/>
        <v>21421</v>
      </c>
      <c r="P77" s="53">
        <f t="shared" si="17"/>
        <v>0</v>
      </c>
      <c r="Q77" s="47"/>
      <c r="R77" s="60"/>
      <c r="S77" s="56">
        <f t="shared" si="18"/>
        <v>10739</v>
      </c>
      <c r="T77" s="57">
        <f t="shared" si="19"/>
        <v>10682</v>
      </c>
      <c r="U77" s="57">
        <f t="shared" si="20"/>
        <v>21421</v>
      </c>
      <c r="V77" s="57">
        <f t="shared" si="21"/>
        <v>0</v>
      </c>
      <c r="W77" s="58">
        <f t="shared" si="14"/>
        <v>10682</v>
      </c>
      <c r="X77" s="60"/>
      <c r="Y77" s="60"/>
      <c r="Z77" s="60"/>
      <c r="AA77" s="60"/>
    </row>
    <row r="78" spans="1:27" ht="12.75">
      <c r="A78" s="2"/>
      <c r="B78" s="9" t="s">
        <v>81</v>
      </c>
      <c r="C78" s="70"/>
      <c r="D78" s="70"/>
      <c r="E78" s="70"/>
      <c r="F78" s="70">
        <f>14+277</f>
        <v>291</v>
      </c>
      <c r="G78" s="70"/>
      <c r="H78" s="70"/>
      <c r="I78" s="70"/>
      <c r="J78" s="70">
        <v>10853</v>
      </c>
      <c r="K78" s="70">
        <v>170</v>
      </c>
      <c r="L78" s="70"/>
      <c r="M78" s="72">
        <f t="shared" si="23"/>
        <v>15309</v>
      </c>
      <c r="N78" s="46">
        <f t="shared" si="15"/>
        <v>11314</v>
      </c>
      <c r="O78" s="52">
        <f t="shared" si="16"/>
        <v>15309</v>
      </c>
      <c r="P78" s="53">
        <f t="shared" si="17"/>
        <v>0</v>
      </c>
      <c r="Q78" s="47"/>
      <c r="R78" s="60"/>
      <c r="S78" s="56">
        <f t="shared" si="18"/>
        <v>3995</v>
      </c>
      <c r="T78" s="57">
        <f t="shared" si="19"/>
        <v>11314</v>
      </c>
      <c r="U78" s="57">
        <f t="shared" si="20"/>
        <v>15309</v>
      </c>
      <c r="V78" s="57">
        <f t="shared" si="21"/>
        <v>0</v>
      </c>
      <c r="W78" s="58">
        <f t="shared" si="14"/>
        <v>11314</v>
      </c>
      <c r="X78" s="60"/>
      <c r="Y78" s="60"/>
      <c r="Z78" s="60"/>
      <c r="AA78" s="60"/>
    </row>
    <row r="79" spans="1:27" ht="12.75">
      <c r="A79" s="2"/>
      <c r="B79" s="9" t="s">
        <v>1</v>
      </c>
      <c r="C79" s="70"/>
      <c r="D79" s="69"/>
      <c r="E79" s="69"/>
      <c r="F79" s="69"/>
      <c r="G79" s="69"/>
      <c r="H79" s="69"/>
      <c r="I79" s="69"/>
      <c r="J79" s="69"/>
      <c r="K79" s="69"/>
      <c r="L79" s="69"/>
      <c r="M79" s="72">
        <f t="shared" si="23"/>
        <v>0</v>
      </c>
      <c r="N79" s="46">
        <f t="shared" si="15"/>
        <v>0</v>
      </c>
      <c r="O79" s="52">
        <f t="shared" si="16"/>
        <v>0</v>
      </c>
      <c r="P79" s="53">
        <f t="shared" si="17"/>
        <v>0</v>
      </c>
      <c r="Q79" s="47"/>
      <c r="R79" s="60"/>
      <c r="S79" s="56">
        <f t="shared" si="18"/>
        <v>0</v>
      </c>
      <c r="T79" s="57">
        <f t="shared" si="19"/>
        <v>0</v>
      </c>
      <c r="U79" s="57">
        <f t="shared" si="20"/>
        <v>0</v>
      </c>
      <c r="V79" s="57">
        <f t="shared" si="21"/>
        <v>0</v>
      </c>
      <c r="W79" s="58">
        <f t="shared" si="14"/>
        <v>0</v>
      </c>
      <c r="X79" s="60"/>
      <c r="Y79" s="60"/>
      <c r="Z79" s="60"/>
      <c r="AA79" s="60"/>
    </row>
    <row r="80" spans="1:27" s="6" customFormat="1" ht="12.75">
      <c r="A80" s="5"/>
      <c r="B80" s="8" t="s">
        <v>14</v>
      </c>
      <c r="C80" s="67">
        <f>SUM(C82:C111)</f>
        <v>262591</v>
      </c>
      <c r="D80" s="67">
        <f aca="true" t="shared" si="24" ref="D80:K80">SUM(D82:D111)</f>
        <v>8</v>
      </c>
      <c r="E80" s="67">
        <f>SUM(E82:E111)</f>
        <v>0</v>
      </c>
      <c r="F80" s="67">
        <f>SUM(F82:F111)</f>
        <v>3992</v>
      </c>
      <c r="G80" s="67">
        <f t="shared" si="24"/>
        <v>9548</v>
      </c>
      <c r="H80" s="67"/>
      <c r="I80" s="67">
        <f t="shared" si="24"/>
        <v>0</v>
      </c>
      <c r="J80" s="67">
        <f t="shared" si="24"/>
        <v>910921</v>
      </c>
      <c r="K80" s="67">
        <f t="shared" si="24"/>
        <v>1</v>
      </c>
      <c r="L80" s="67"/>
      <c r="M80" s="67">
        <f t="shared" si="23"/>
        <v>1236623</v>
      </c>
      <c r="N80" s="46">
        <f t="shared" si="15"/>
        <v>1187061</v>
      </c>
      <c r="O80" s="52">
        <f t="shared" si="16"/>
        <v>1236623</v>
      </c>
      <c r="P80" s="53">
        <f t="shared" si="17"/>
        <v>0</v>
      </c>
      <c r="Q80" s="54"/>
      <c r="R80" s="59"/>
      <c r="S80" s="56">
        <f t="shared" si="18"/>
        <v>49562</v>
      </c>
      <c r="T80" s="57">
        <f t="shared" si="19"/>
        <v>1187061</v>
      </c>
      <c r="U80" s="57">
        <f t="shared" si="20"/>
        <v>1236623</v>
      </c>
      <c r="V80" s="57">
        <f t="shared" si="21"/>
        <v>0</v>
      </c>
      <c r="W80" s="58">
        <f t="shared" si="14"/>
        <v>1187061</v>
      </c>
      <c r="X80" s="59"/>
      <c r="Y80" s="59"/>
      <c r="Z80" s="59"/>
      <c r="AA80" s="59"/>
    </row>
    <row r="81" spans="1:27" ht="12.75">
      <c r="A81" s="2"/>
      <c r="B81" s="9" t="s">
        <v>1</v>
      </c>
      <c r="C81" s="70"/>
      <c r="D81" s="69"/>
      <c r="E81" s="69"/>
      <c r="F81" s="69"/>
      <c r="G81" s="69"/>
      <c r="H81" s="69"/>
      <c r="I81" s="69"/>
      <c r="J81" s="69"/>
      <c r="K81" s="69"/>
      <c r="L81" s="69"/>
      <c r="M81" s="72">
        <f t="shared" si="23"/>
        <v>0</v>
      </c>
      <c r="N81" s="46">
        <f t="shared" si="15"/>
        <v>0</v>
      </c>
      <c r="O81" s="52">
        <f t="shared" si="16"/>
        <v>0</v>
      </c>
      <c r="P81" s="53">
        <f t="shared" si="17"/>
        <v>0</v>
      </c>
      <c r="Q81" s="48"/>
      <c r="R81" s="60"/>
      <c r="S81" s="56">
        <f t="shared" si="18"/>
        <v>0</v>
      </c>
      <c r="T81" s="57">
        <f t="shared" si="19"/>
        <v>0</v>
      </c>
      <c r="U81" s="57">
        <f t="shared" si="20"/>
        <v>0</v>
      </c>
      <c r="V81" s="57">
        <f t="shared" si="21"/>
        <v>0</v>
      </c>
      <c r="W81" s="58">
        <f t="shared" si="14"/>
        <v>0</v>
      </c>
      <c r="X81" s="60"/>
      <c r="Y81" s="60"/>
      <c r="Z81" s="60"/>
      <c r="AA81" s="60"/>
    </row>
    <row r="82" spans="1:27" ht="12.75">
      <c r="A82" s="2"/>
      <c r="B82" s="9" t="s">
        <v>15</v>
      </c>
      <c r="C82" s="70">
        <f>902+16+203+480+4613+308</f>
        <v>6522</v>
      </c>
      <c r="D82" s="70"/>
      <c r="E82" s="70"/>
      <c r="F82" s="70">
        <v>1114</v>
      </c>
      <c r="G82" s="70">
        <v>514</v>
      </c>
      <c r="H82" s="70"/>
      <c r="I82" s="70"/>
      <c r="J82" s="72">
        <v>24173</v>
      </c>
      <c r="K82" s="70"/>
      <c r="L82" s="70"/>
      <c r="M82" s="72">
        <f t="shared" si="23"/>
        <v>35316</v>
      </c>
      <c r="N82" s="46">
        <f t="shared" si="15"/>
        <v>32323</v>
      </c>
      <c r="O82" s="52">
        <f t="shared" si="16"/>
        <v>35316</v>
      </c>
      <c r="P82" s="53">
        <f t="shared" si="17"/>
        <v>0</v>
      </c>
      <c r="Q82" s="47"/>
      <c r="R82" s="60"/>
      <c r="S82" s="56">
        <f t="shared" si="18"/>
        <v>2993</v>
      </c>
      <c r="T82" s="57">
        <f t="shared" si="19"/>
        <v>32323</v>
      </c>
      <c r="U82" s="57">
        <f t="shared" si="20"/>
        <v>35316</v>
      </c>
      <c r="V82" s="57">
        <f t="shared" si="21"/>
        <v>0</v>
      </c>
      <c r="W82" s="58">
        <f t="shared" si="14"/>
        <v>32323</v>
      </c>
      <c r="X82" s="60"/>
      <c r="Y82" s="60"/>
      <c r="Z82" s="60"/>
      <c r="AA82" s="60"/>
    </row>
    <row r="83" spans="1:27" ht="12.75">
      <c r="A83" s="2"/>
      <c r="B83" s="9" t="s">
        <v>16</v>
      </c>
      <c r="C83" s="70">
        <f>5+1698</f>
        <v>1703</v>
      </c>
      <c r="D83" s="70"/>
      <c r="E83" s="70"/>
      <c r="F83" s="70">
        <v>262</v>
      </c>
      <c r="G83" s="70">
        <v>2</v>
      </c>
      <c r="H83" s="70"/>
      <c r="I83" s="70"/>
      <c r="J83" s="72">
        <v>30603</v>
      </c>
      <c r="K83" s="70"/>
      <c r="L83" s="70"/>
      <c r="M83" s="72">
        <f t="shared" si="23"/>
        <v>34614</v>
      </c>
      <c r="N83" s="46">
        <f t="shared" si="15"/>
        <v>32570</v>
      </c>
      <c r="O83" s="52">
        <f t="shared" si="16"/>
        <v>34614</v>
      </c>
      <c r="P83" s="53">
        <f t="shared" si="17"/>
        <v>0</v>
      </c>
      <c r="Q83" s="47"/>
      <c r="R83" s="60"/>
      <c r="S83" s="56">
        <f t="shared" si="18"/>
        <v>2044</v>
      </c>
      <c r="T83" s="57">
        <f t="shared" si="19"/>
        <v>32570</v>
      </c>
      <c r="U83" s="57">
        <f t="shared" si="20"/>
        <v>34614</v>
      </c>
      <c r="V83" s="57">
        <f t="shared" si="21"/>
        <v>0</v>
      </c>
      <c r="W83" s="58">
        <f t="shared" si="14"/>
        <v>32570</v>
      </c>
      <c r="X83" s="60"/>
      <c r="Y83" s="60"/>
      <c r="Z83" s="60"/>
      <c r="AA83" s="60"/>
    </row>
    <row r="84" spans="1:27" ht="12.75">
      <c r="A84" s="2"/>
      <c r="B84" s="9" t="s">
        <v>17</v>
      </c>
      <c r="C84" s="71">
        <v>16946</v>
      </c>
      <c r="D84" s="71"/>
      <c r="E84" s="71"/>
      <c r="F84" s="72">
        <v>5</v>
      </c>
      <c r="G84" s="71">
        <v>12</v>
      </c>
      <c r="H84" s="71"/>
      <c r="I84" s="71"/>
      <c r="J84" s="72">
        <v>28689</v>
      </c>
      <c r="K84" s="71"/>
      <c r="L84" s="71"/>
      <c r="M84" s="72">
        <f aca="true" t="shared" si="25" ref="M84:M111">O84</f>
        <v>49411</v>
      </c>
      <c r="N84" s="46">
        <f t="shared" si="15"/>
        <v>45652</v>
      </c>
      <c r="O84" s="52">
        <f t="shared" si="16"/>
        <v>49411</v>
      </c>
      <c r="P84" s="53">
        <f t="shared" si="17"/>
        <v>0</v>
      </c>
      <c r="Q84" s="51"/>
      <c r="R84" s="61"/>
      <c r="S84" s="56">
        <f t="shared" si="18"/>
        <v>3759</v>
      </c>
      <c r="T84" s="57">
        <f t="shared" si="19"/>
        <v>45652</v>
      </c>
      <c r="U84" s="57">
        <f t="shared" si="20"/>
        <v>49411</v>
      </c>
      <c r="V84" s="57">
        <f t="shared" si="21"/>
        <v>0</v>
      </c>
      <c r="W84" s="58">
        <f t="shared" si="14"/>
        <v>45652</v>
      </c>
      <c r="X84" s="60"/>
      <c r="Y84" s="60"/>
      <c r="Z84" s="60"/>
      <c r="AA84" s="60"/>
    </row>
    <row r="85" spans="1:27" ht="12.75">
      <c r="A85" s="2"/>
      <c r="B85" s="9" t="s">
        <v>18</v>
      </c>
      <c r="C85" s="70"/>
      <c r="D85" s="70"/>
      <c r="E85" s="70"/>
      <c r="F85" s="70"/>
      <c r="G85" s="70">
        <v>1</v>
      </c>
      <c r="H85" s="70"/>
      <c r="I85" s="70"/>
      <c r="J85" s="72">
        <v>17935</v>
      </c>
      <c r="K85" s="70"/>
      <c r="L85" s="70"/>
      <c r="M85" s="72">
        <f t="shared" si="25"/>
        <v>18246</v>
      </c>
      <c r="N85" s="46">
        <f t="shared" si="15"/>
        <v>17936</v>
      </c>
      <c r="O85" s="52">
        <f t="shared" si="16"/>
        <v>18246</v>
      </c>
      <c r="P85" s="53">
        <f t="shared" si="17"/>
        <v>0</v>
      </c>
      <c r="Q85" s="47"/>
      <c r="R85" s="60"/>
      <c r="S85" s="56">
        <f t="shared" si="18"/>
        <v>310</v>
      </c>
      <c r="T85" s="57">
        <f t="shared" si="19"/>
        <v>17936</v>
      </c>
      <c r="U85" s="57">
        <f t="shared" si="20"/>
        <v>18246</v>
      </c>
      <c r="V85" s="57">
        <f t="shared" si="21"/>
        <v>0</v>
      </c>
      <c r="W85" s="58">
        <f t="shared" si="14"/>
        <v>17936</v>
      </c>
      <c r="X85" s="60"/>
      <c r="Y85" s="60"/>
      <c r="Z85" s="60"/>
      <c r="AA85" s="60"/>
    </row>
    <row r="86" spans="1:27" ht="12.75">
      <c r="A86" s="2"/>
      <c r="B86" s="9" t="s">
        <v>19</v>
      </c>
      <c r="C86" s="70">
        <f>13741+2</f>
        <v>13743</v>
      </c>
      <c r="D86" s="70"/>
      <c r="E86" s="70"/>
      <c r="F86" s="70">
        <v>132</v>
      </c>
      <c r="G86" s="70">
        <v>5</v>
      </c>
      <c r="H86" s="70"/>
      <c r="I86" s="70"/>
      <c r="J86" s="72">
        <v>35812</v>
      </c>
      <c r="K86" s="70"/>
      <c r="L86" s="70"/>
      <c r="M86" s="72">
        <f t="shared" si="25"/>
        <v>52408</v>
      </c>
      <c r="N86" s="46">
        <f t="shared" si="15"/>
        <v>49692</v>
      </c>
      <c r="O86" s="52">
        <f t="shared" si="16"/>
        <v>52408</v>
      </c>
      <c r="P86" s="53">
        <f t="shared" si="17"/>
        <v>0</v>
      </c>
      <c r="Q86" s="47"/>
      <c r="R86" s="60"/>
      <c r="S86" s="56">
        <f t="shared" si="18"/>
        <v>2716</v>
      </c>
      <c r="T86" s="57">
        <f t="shared" si="19"/>
        <v>49692</v>
      </c>
      <c r="U86" s="57">
        <f t="shared" si="20"/>
        <v>52408</v>
      </c>
      <c r="V86" s="57">
        <f t="shared" si="21"/>
        <v>0</v>
      </c>
      <c r="W86" s="58">
        <f t="shared" si="14"/>
        <v>49692</v>
      </c>
      <c r="X86" s="60"/>
      <c r="Y86" s="60"/>
      <c r="Z86" s="60"/>
      <c r="AA86" s="60"/>
    </row>
    <row r="87" spans="1:27" ht="12.75">
      <c r="A87" s="2"/>
      <c r="B87" s="9" t="s">
        <v>20</v>
      </c>
      <c r="C87" s="70">
        <f>1817+3787+44</f>
        <v>5648</v>
      </c>
      <c r="D87" s="70"/>
      <c r="E87" s="70"/>
      <c r="F87" s="70">
        <v>44</v>
      </c>
      <c r="G87" s="70">
        <v>1</v>
      </c>
      <c r="H87" s="70"/>
      <c r="I87" s="70"/>
      <c r="J87" s="72">
        <v>75967</v>
      </c>
      <c r="K87" s="70"/>
      <c r="L87" s="70"/>
      <c r="M87" s="72">
        <f t="shared" si="25"/>
        <v>82801</v>
      </c>
      <c r="N87" s="46">
        <f t="shared" si="15"/>
        <v>81660</v>
      </c>
      <c r="O87" s="52">
        <f t="shared" si="16"/>
        <v>82801</v>
      </c>
      <c r="P87" s="53">
        <f t="shared" si="17"/>
        <v>0</v>
      </c>
      <c r="Q87" s="47"/>
      <c r="R87" s="60"/>
      <c r="S87" s="56">
        <f t="shared" si="18"/>
        <v>1141</v>
      </c>
      <c r="T87" s="57">
        <f t="shared" si="19"/>
        <v>81660</v>
      </c>
      <c r="U87" s="57">
        <f t="shared" si="20"/>
        <v>82801</v>
      </c>
      <c r="V87" s="57">
        <f t="shared" si="21"/>
        <v>0</v>
      </c>
      <c r="W87" s="58">
        <f t="shared" si="14"/>
        <v>81660</v>
      </c>
      <c r="X87" s="60"/>
      <c r="Y87" s="60"/>
      <c r="Z87" s="60"/>
      <c r="AA87" s="60"/>
    </row>
    <row r="88" spans="1:27" ht="12.75">
      <c r="A88" s="2"/>
      <c r="B88" s="9" t="s">
        <v>21</v>
      </c>
      <c r="C88" s="70">
        <f>7003+6337</f>
        <v>13340</v>
      </c>
      <c r="D88" s="70"/>
      <c r="E88" s="70"/>
      <c r="F88" s="70">
        <v>4</v>
      </c>
      <c r="G88" s="70">
        <v>5135</v>
      </c>
      <c r="H88" s="70"/>
      <c r="I88" s="70"/>
      <c r="J88" s="72">
        <v>39645</v>
      </c>
      <c r="K88" s="70"/>
      <c r="L88" s="70"/>
      <c r="M88" s="72">
        <f t="shared" si="25"/>
        <v>62125</v>
      </c>
      <c r="N88" s="46">
        <f t="shared" si="15"/>
        <v>58124</v>
      </c>
      <c r="O88" s="52">
        <f t="shared" si="16"/>
        <v>62125</v>
      </c>
      <c r="P88" s="53">
        <f t="shared" si="17"/>
        <v>0</v>
      </c>
      <c r="Q88" s="47"/>
      <c r="R88" s="60"/>
      <c r="S88" s="56">
        <f t="shared" si="18"/>
        <v>4001</v>
      </c>
      <c r="T88" s="57">
        <f t="shared" si="19"/>
        <v>58124</v>
      </c>
      <c r="U88" s="57">
        <f t="shared" si="20"/>
        <v>62125</v>
      </c>
      <c r="V88" s="57">
        <f t="shared" si="21"/>
        <v>0</v>
      </c>
      <c r="W88" s="58">
        <f t="shared" si="14"/>
        <v>58124</v>
      </c>
      <c r="X88" s="60"/>
      <c r="Y88" s="60"/>
      <c r="Z88" s="60"/>
      <c r="AA88" s="60"/>
    </row>
    <row r="89" spans="1:27" ht="12.75">
      <c r="A89" s="2"/>
      <c r="B89" s="9" t="s">
        <v>22</v>
      </c>
      <c r="C89" s="70">
        <f>1955+4536+1168</f>
        <v>7659</v>
      </c>
      <c r="D89" s="70"/>
      <c r="E89" s="70"/>
      <c r="F89" s="70">
        <v>22</v>
      </c>
      <c r="G89" s="70">
        <v>7</v>
      </c>
      <c r="H89" s="70"/>
      <c r="I89" s="70"/>
      <c r="J89" s="72">
        <v>26695</v>
      </c>
      <c r="K89" s="70"/>
      <c r="L89" s="70"/>
      <c r="M89" s="72">
        <f t="shared" si="25"/>
        <v>36404</v>
      </c>
      <c r="N89" s="46">
        <f t="shared" si="15"/>
        <v>34383</v>
      </c>
      <c r="O89" s="52">
        <f t="shared" si="16"/>
        <v>36404</v>
      </c>
      <c r="P89" s="53">
        <f t="shared" si="17"/>
        <v>0</v>
      </c>
      <c r="Q89" s="47"/>
      <c r="R89" s="60"/>
      <c r="S89" s="56">
        <f t="shared" si="18"/>
        <v>2021</v>
      </c>
      <c r="T89" s="57">
        <f t="shared" si="19"/>
        <v>34383</v>
      </c>
      <c r="U89" s="57">
        <f t="shared" si="20"/>
        <v>36404</v>
      </c>
      <c r="V89" s="57">
        <f t="shared" si="21"/>
        <v>0</v>
      </c>
      <c r="W89" s="58">
        <f t="shared" si="14"/>
        <v>34383</v>
      </c>
      <c r="X89" s="60"/>
      <c r="Y89" s="60"/>
      <c r="Z89" s="60"/>
      <c r="AA89" s="60"/>
    </row>
    <row r="90" spans="1:27" ht="12.75">
      <c r="A90" s="2"/>
      <c r="B90" s="9" t="s">
        <v>23</v>
      </c>
      <c r="C90" s="70">
        <f>246+4328+613+164+915</f>
        <v>6266</v>
      </c>
      <c r="D90" s="70"/>
      <c r="E90" s="70"/>
      <c r="F90" s="70">
        <v>22</v>
      </c>
      <c r="G90" s="70"/>
      <c r="H90" s="70"/>
      <c r="I90" s="70"/>
      <c r="J90" s="72">
        <v>14944</v>
      </c>
      <c r="K90" s="70"/>
      <c r="L90" s="70"/>
      <c r="M90" s="72">
        <f t="shared" si="25"/>
        <v>23302</v>
      </c>
      <c r="N90" s="46">
        <f t="shared" si="15"/>
        <v>21232</v>
      </c>
      <c r="O90" s="52">
        <f t="shared" si="16"/>
        <v>23302</v>
      </c>
      <c r="P90" s="53">
        <f t="shared" si="17"/>
        <v>0</v>
      </c>
      <c r="Q90" s="47"/>
      <c r="R90" s="60"/>
      <c r="S90" s="56">
        <f t="shared" si="18"/>
        <v>2070</v>
      </c>
      <c r="T90" s="57">
        <f t="shared" si="19"/>
        <v>21232</v>
      </c>
      <c r="U90" s="57">
        <f t="shared" si="20"/>
        <v>23302</v>
      </c>
      <c r="V90" s="57">
        <f t="shared" si="21"/>
        <v>0</v>
      </c>
      <c r="W90" s="58">
        <f t="shared" si="14"/>
        <v>21232</v>
      </c>
      <c r="X90" s="60"/>
      <c r="Y90" s="60"/>
      <c r="Z90" s="60"/>
      <c r="AA90" s="60"/>
    </row>
    <row r="91" spans="1:27" ht="12.75">
      <c r="A91" s="2"/>
      <c r="B91" s="9" t="s">
        <v>24</v>
      </c>
      <c r="C91" s="70">
        <f>31766+72</f>
        <v>31838</v>
      </c>
      <c r="D91" s="70"/>
      <c r="E91" s="70"/>
      <c r="F91" s="70">
        <v>48</v>
      </c>
      <c r="G91" s="70"/>
      <c r="H91" s="70"/>
      <c r="I91" s="70"/>
      <c r="J91" s="72">
        <v>91806</v>
      </c>
      <c r="K91" s="70"/>
      <c r="L91" s="70"/>
      <c r="M91" s="72">
        <f t="shared" si="25"/>
        <v>124296</v>
      </c>
      <c r="N91" s="46">
        <f t="shared" si="15"/>
        <v>123692</v>
      </c>
      <c r="O91" s="52">
        <f t="shared" si="16"/>
        <v>124296</v>
      </c>
      <c r="P91" s="53">
        <f t="shared" si="17"/>
        <v>0</v>
      </c>
      <c r="Q91" s="47"/>
      <c r="R91" s="60"/>
      <c r="S91" s="56">
        <f t="shared" si="18"/>
        <v>604</v>
      </c>
      <c r="T91" s="57">
        <f t="shared" si="19"/>
        <v>123692</v>
      </c>
      <c r="U91" s="57">
        <f t="shared" si="20"/>
        <v>124296</v>
      </c>
      <c r="V91" s="57">
        <f t="shared" si="21"/>
        <v>0</v>
      </c>
      <c r="W91" s="58">
        <f t="shared" si="14"/>
        <v>123692</v>
      </c>
      <c r="X91" s="60"/>
      <c r="Y91" s="60"/>
      <c r="Z91" s="60"/>
      <c r="AA91" s="60"/>
    </row>
    <row r="92" spans="1:27" ht="12.75">
      <c r="A92" s="2"/>
      <c r="B92" s="9" t="s">
        <v>25</v>
      </c>
      <c r="C92" s="70">
        <f>3971+34+3825+4240+23529</f>
        <v>35599</v>
      </c>
      <c r="D92" s="70"/>
      <c r="E92" s="70"/>
      <c r="F92" s="70">
        <v>17</v>
      </c>
      <c r="G92" s="70">
        <v>67</v>
      </c>
      <c r="H92" s="70"/>
      <c r="I92" s="70"/>
      <c r="J92" s="72">
        <v>16870</v>
      </c>
      <c r="K92" s="70"/>
      <c r="L92" s="70"/>
      <c r="M92" s="72">
        <f t="shared" si="25"/>
        <v>52851</v>
      </c>
      <c r="N92" s="46">
        <f t="shared" si="15"/>
        <v>52553</v>
      </c>
      <c r="O92" s="52">
        <f t="shared" si="16"/>
        <v>52851</v>
      </c>
      <c r="P92" s="53">
        <f t="shared" si="17"/>
        <v>0</v>
      </c>
      <c r="Q92" s="47"/>
      <c r="R92" s="60"/>
      <c r="S92" s="56">
        <f t="shared" si="18"/>
        <v>298</v>
      </c>
      <c r="T92" s="57">
        <f t="shared" si="19"/>
        <v>52553</v>
      </c>
      <c r="U92" s="57">
        <f t="shared" si="20"/>
        <v>52851</v>
      </c>
      <c r="V92" s="57">
        <f t="shared" si="21"/>
        <v>0</v>
      </c>
      <c r="W92" s="58">
        <f t="shared" si="14"/>
        <v>52553</v>
      </c>
      <c r="X92" s="60"/>
      <c r="Y92" s="60"/>
      <c r="Z92" s="60"/>
      <c r="AA92" s="60"/>
    </row>
    <row r="93" spans="1:27" ht="12.75">
      <c r="A93" s="2"/>
      <c r="B93" s="9" t="s">
        <v>26</v>
      </c>
      <c r="C93" s="72">
        <v>6</v>
      </c>
      <c r="D93" s="70"/>
      <c r="E93" s="70"/>
      <c r="F93" s="70">
        <v>65</v>
      </c>
      <c r="G93" s="70"/>
      <c r="H93" s="70"/>
      <c r="I93" s="70"/>
      <c r="J93" s="72">
        <v>6346</v>
      </c>
      <c r="K93" s="72">
        <v>1</v>
      </c>
      <c r="L93" s="70"/>
      <c r="M93" s="72">
        <f t="shared" si="25"/>
        <v>7427</v>
      </c>
      <c r="N93" s="46">
        <f t="shared" si="15"/>
        <v>6418</v>
      </c>
      <c r="O93" s="52">
        <f t="shared" si="16"/>
        <v>7427</v>
      </c>
      <c r="P93" s="53">
        <f t="shared" si="17"/>
        <v>0</v>
      </c>
      <c r="Q93" s="47"/>
      <c r="R93" s="60"/>
      <c r="S93" s="56">
        <f t="shared" si="18"/>
        <v>1009</v>
      </c>
      <c r="T93" s="57">
        <f t="shared" si="19"/>
        <v>6418</v>
      </c>
      <c r="U93" s="57">
        <f t="shared" si="20"/>
        <v>7427</v>
      </c>
      <c r="V93" s="57">
        <f t="shared" si="21"/>
        <v>0</v>
      </c>
      <c r="W93" s="58">
        <f t="shared" si="14"/>
        <v>6418</v>
      </c>
      <c r="X93" s="60"/>
      <c r="Y93" s="60"/>
      <c r="Z93" s="60"/>
      <c r="AA93" s="60"/>
    </row>
    <row r="94" spans="1:27" ht="12.75">
      <c r="A94" s="2"/>
      <c r="B94" s="9" t="s">
        <v>27</v>
      </c>
      <c r="C94" s="72">
        <f>1137+23476+214+24326</f>
        <v>49153</v>
      </c>
      <c r="D94" s="72"/>
      <c r="E94" s="72"/>
      <c r="F94" s="72">
        <v>708</v>
      </c>
      <c r="G94" s="72">
        <v>1503</v>
      </c>
      <c r="H94" s="72"/>
      <c r="I94" s="72"/>
      <c r="J94" s="72">
        <v>50165</v>
      </c>
      <c r="K94" s="72"/>
      <c r="L94" s="72"/>
      <c r="M94" s="72">
        <f t="shared" si="25"/>
        <v>104970</v>
      </c>
      <c r="N94" s="46">
        <f t="shared" si="15"/>
        <v>101529</v>
      </c>
      <c r="O94" s="52">
        <f t="shared" si="16"/>
        <v>104970</v>
      </c>
      <c r="P94" s="53">
        <f t="shared" si="17"/>
        <v>0</v>
      </c>
      <c r="Q94" s="50"/>
      <c r="R94" s="60"/>
      <c r="S94" s="56">
        <f t="shared" si="18"/>
        <v>3441</v>
      </c>
      <c r="T94" s="57">
        <f t="shared" si="19"/>
        <v>101529</v>
      </c>
      <c r="U94" s="57">
        <f t="shared" si="20"/>
        <v>104970</v>
      </c>
      <c r="V94" s="57">
        <f t="shared" si="21"/>
        <v>0</v>
      </c>
      <c r="W94" s="58">
        <f t="shared" si="14"/>
        <v>101529</v>
      </c>
      <c r="X94" s="60"/>
      <c r="Y94" s="60"/>
      <c r="Z94" s="60"/>
      <c r="AA94" s="60"/>
    </row>
    <row r="95" spans="1:27" ht="12.75">
      <c r="A95" s="2"/>
      <c r="B95" s="9" t="s">
        <v>28</v>
      </c>
      <c r="C95" s="70">
        <f>79+12+2</f>
        <v>93</v>
      </c>
      <c r="D95" s="70"/>
      <c r="E95" s="70"/>
      <c r="F95" s="70">
        <v>127</v>
      </c>
      <c r="G95" s="70"/>
      <c r="H95" s="70"/>
      <c r="I95" s="70"/>
      <c r="J95" s="72">
        <v>75513</v>
      </c>
      <c r="K95" s="70"/>
      <c r="L95" s="70"/>
      <c r="M95" s="72">
        <f t="shared" si="25"/>
        <v>77688</v>
      </c>
      <c r="N95" s="46">
        <f t="shared" si="15"/>
        <v>75733</v>
      </c>
      <c r="O95" s="52">
        <f t="shared" si="16"/>
        <v>77688</v>
      </c>
      <c r="P95" s="53">
        <f t="shared" si="17"/>
        <v>0</v>
      </c>
      <c r="Q95" s="47"/>
      <c r="R95" s="60"/>
      <c r="S95" s="56">
        <f t="shared" si="18"/>
        <v>1955</v>
      </c>
      <c r="T95" s="57">
        <f t="shared" si="19"/>
        <v>75733</v>
      </c>
      <c r="U95" s="57">
        <f t="shared" si="20"/>
        <v>77688</v>
      </c>
      <c r="V95" s="57">
        <f t="shared" si="21"/>
        <v>0</v>
      </c>
      <c r="W95" s="58">
        <f t="shared" si="14"/>
        <v>75733</v>
      </c>
      <c r="X95" s="60"/>
      <c r="Y95" s="60"/>
      <c r="Z95" s="60"/>
      <c r="AA95" s="60"/>
    </row>
    <row r="96" spans="1:27" ht="12.75">
      <c r="A96" s="2"/>
      <c r="B96" s="9" t="s">
        <v>29</v>
      </c>
      <c r="C96" s="70">
        <f>3776+12606+79</f>
        <v>16461</v>
      </c>
      <c r="D96" s="70"/>
      <c r="E96" s="70"/>
      <c r="F96" s="70">
        <v>95</v>
      </c>
      <c r="G96" s="70">
        <v>287</v>
      </c>
      <c r="H96" s="70"/>
      <c r="I96" s="70"/>
      <c r="J96" s="72">
        <v>46509</v>
      </c>
      <c r="K96" s="70"/>
      <c r="L96" s="70"/>
      <c r="M96" s="72">
        <f t="shared" si="25"/>
        <v>63788</v>
      </c>
      <c r="N96" s="46">
        <f t="shared" si="15"/>
        <v>63352</v>
      </c>
      <c r="O96" s="52">
        <f t="shared" si="16"/>
        <v>63788</v>
      </c>
      <c r="P96" s="53">
        <f t="shared" si="17"/>
        <v>0</v>
      </c>
      <c r="Q96" s="47"/>
      <c r="R96" s="60"/>
      <c r="S96" s="56">
        <f t="shared" si="18"/>
        <v>436</v>
      </c>
      <c r="T96" s="57">
        <f t="shared" si="19"/>
        <v>63352</v>
      </c>
      <c r="U96" s="57">
        <f t="shared" si="20"/>
        <v>63788</v>
      </c>
      <c r="V96" s="57">
        <f t="shared" si="21"/>
        <v>0</v>
      </c>
      <c r="W96" s="58">
        <f t="shared" si="14"/>
        <v>63352</v>
      </c>
      <c r="X96" s="60"/>
      <c r="Y96" s="60"/>
      <c r="Z96" s="60"/>
      <c r="AA96" s="60"/>
    </row>
    <row r="97" spans="1:27" ht="12.75">
      <c r="A97" s="2"/>
      <c r="B97" s="9" t="s">
        <v>30</v>
      </c>
      <c r="C97" s="70">
        <f>55+211</f>
        <v>266</v>
      </c>
      <c r="D97" s="70"/>
      <c r="E97" s="70"/>
      <c r="F97" s="70">
        <v>21</v>
      </c>
      <c r="G97" s="70">
        <v>71</v>
      </c>
      <c r="H97" s="70"/>
      <c r="I97" s="70"/>
      <c r="J97" s="72">
        <v>5479</v>
      </c>
      <c r="K97" s="70"/>
      <c r="L97" s="70"/>
      <c r="M97" s="72">
        <f t="shared" si="25"/>
        <v>7944</v>
      </c>
      <c r="N97" s="46">
        <f t="shared" si="15"/>
        <v>5837</v>
      </c>
      <c r="O97" s="52">
        <f t="shared" si="16"/>
        <v>7944</v>
      </c>
      <c r="P97" s="53">
        <f t="shared" si="17"/>
        <v>0</v>
      </c>
      <c r="Q97" s="47"/>
      <c r="R97" s="60"/>
      <c r="S97" s="56">
        <f t="shared" si="18"/>
        <v>2107</v>
      </c>
      <c r="T97" s="57">
        <f t="shared" si="19"/>
        <v>5837</v>
      </c>
      <c r="U97" s="57">
        <f t="shared" si="20"/>
        <v>7944</v>
      </c>
      <c r="V97" s="57">
        <f t="shared" si="21"/>
        <v>0</v>
      </c>
      <c r="W97" s="58">
        <f t="shared" si="14"/>
        <v>5837</v>
      </c>
      <c r="X97" s="60"/>
      <c r="Y97" s="60"/>
      <c r="Z97" s="60"/>
      <c r="AA97" s="60"/>
    </row>
    <row r="98" spans="1:27" ht="12.75">
      <c r="A98" s="2"/>
      <c r="B98" s="9" t="s">
        <v>31</v>
      </c>
      <c r="C98" s="70">
        <f>583+859+4802</f>
        <v>6244</v>
      </c>
      <c r="D98" s="70">
        <v>8</v>
      </c>
      <c r="E98" s="70"/>
      <c r="F98" s="70">
        <v>137</v>
      </c>
      <c r="G98" s="70"/>
      <c r="H98" s="70"/>
      <c r="I98" s="70"/>
      <c r="J98" s="72">
        <v>12445</v>
      </c>
      <c r="K98" s="70"/>
      <c r="L98" s="70"/>
      <c r="M98" s="72">
        <f t="shared" si="25"/>
        <v>21293</v>
      </c>
      <c r="N98" s="46">
        <f t="shared" si="15"/>
        <v>18834</v>
      </c>
      <c r="O98" s="52">
        <f t="shared" si="16"/>
        <v>21293</v>
      </c>
      <c r="P98" s="53">
        <f t="shared" si="17"/>
        <v>0</v>
      </c>
      <c r="Q98" s="47"/>
      <c r="R98" s="60"/>
      <c r="S98" s="56">
        <f t="shared" si="18"/>
        <v>2459</v>
      </c>
      <c r="T98" s="57">
        <f t="shared" si="19"/>
        <v>18834</v>
      </c>
      <c r="U98" s="57">
        <f t="shared" si="20"/>
        <v>21293</v>
      </c>
      <c r="V98" s="57">
        <f t="shared" si="21"/>
        <v>0</v>
      </c>
      <c r="W98" s="58">
        <f t="shared" si="14"/>
        <v>18834</v>
      </c>
      <c r="X98" s="60"/>
      <c r="Y98" s="60"/>
      <c r="Z98" s="60"/>
      <c r="AA98" s="60"/>
    </row>
    <row r="99" spans="1:27" ht="12.75">
      <c r="A99" s="2"/>
      <c r="B99" s="9" t="s">
        <v>32</v>
      </c>
      <c r="C99" s="70">
        <f>7046+140</f>
        <v>7186</v>
      </c>
      <c r="D99" s="70"/>
      <c r="E99" s="70"/>
      <c r="F99" s="70">
        <v>90</v>
      </c>
      <c r="G99" s="70"/>
      <c r="H99" s="70"/>
      <c r="I99" s="70"/>
      <c r="J99" s="72">
        <v>14303</v>
      </c>
      <c r="K99" s="70"/>
      <c r="L99" s="70"/>
      <c r="M99" s="72">
        <f t="shared" si="25"/>
        <v>22341</v>
      </c>
      <c r="N99" s="46">
        <f t="shared" si="15"/>
        <v>21579</v>
      </c>
      <c r="O99" s="52">
        <f t="shared" si="16"/>
        <v>22341</v>
      </c>
      <c r="P99" s="53">
        <f t="shared" si="17"/>
        <v>0</v>
      </c>
      <c r="Q99" s="47"/>
      <c r="R99" s="60"/>
      <c r="S99" s="56">
        <f t="shared" si="18"/>
        <v>762</v>
      </c>
      <c r="T99" s="57">
        <f t="shared" si="19"/>
        <v>21579</v>
      </c>
      <c r="U99" s="57">
        <f t="shared" si="20"/>
        <v>22341</v>
      </c>
      <c r="V99" s="57">
        <f t="shared" si="21"/>
        <v>0</v>
      </c>
      <c r="W99" s="58">
        <f t="shared" si="14"/>
        <v>21579</v>
      </c>
      <c r="X99" s="60"/>
      <c r="Y99" s="60"/>
      <c r="Z99" s="60"/>
      <c r="AA99" s="60"/>
    </row>
    <row r="100" spans="1:27" ht="12.75">
      <c r="A100" s="2"/>
      <c r="B100" s="9" t="s">
        <v>33</v>
      </c>
      <c r="C100" s="70">
        <f>96+156</f>
        <v>252</v>
      </c>
      <c r="D100" s="70"/>
      <c r="E100" s="70"/>
      <c r="F100" s="70">
        <v>150</v>
      </c>
      <c r="G100" s="70">
        <v>37</v>
      </c>
      <c r="H100" s="70"/>
      <c r="I100" s="70"/>
      <c r="J100" s="72">
        <v>41765</v>
      </c>
      <c r="K100" s="70"/>
      <c r="L100" s="70"/>
      <c r="M100" s="72">
        <f t="shared" si="25"/>
        <v>42831</v>
      </c>
      <c r="N100" s="46">
        <f t="shared" si="15"/>
        <v>42204</v>
      </c>
      <c r="O100" s="52">
        <f t="shared" si="16"/>
        <v>42831</v>
      </c>
      <c r="P100" s="53">
        <f t="shared" si="17"/>
        <v>0</v>
      </c>
      <c r="Q100" s="47"/>
      <c r="R100" s="60"/>
      <c r="S100" s="56">
        <f t="shared" si="18"/>
        <v>627</v>
      </c>
      <c r="T100" s="57">
        <f t="shared" si="19"/>
        <v>42204</v>
      </c>
      <c r="U100" s="57">
        <f t="shared" si="20"/>
        <v>42831</v>
      </c>
      <c r="V100" s="57">
        <f t="shared" si="21"/>
        <v>0</v>
      </c>
      <c r="W100" s="58">
        <f t="shared" si="14"/>
        <v>42204</v>
      </c>
      <c r="X100" s="60"/>
      <c r="Y100" s="60"/>
      <c r="Z100" s="60"/>
      <c r="AA100" s="60"/>
    </row>
    <row r="101" spans="1:27" ht="12.75">
      <c r="A101" s="2"/>
      <c r="B101" s="9" t="s">
        <v>34</v>
      </c>
      <c r="C101" s="70">
        <f>577+107</f>
        <v>684</v>
      </c>
      <c r="D101" s="70"/>
      <c r="E101" s="70"/>
      <c r="F101" s="70">
        <v>56</v>
      </c>
      <c r="G101" s="70"/>
      <c r="H101" s="70"/>
      <c r="I101" s="70"/>
      <c r="J101" s="72">
        <v>27288</v>
      </c>
      <c r="K101" s="70"/>
      <c r="L101" s="70"/>
      <c r="M101" s="72">
        <f t="shared" si="25"/>
        <v>28687</v>
      </c>
      <c r="N101" s="46">
        <f t="shared" si="15"/>
        <v>28028</v>
      </c>
      <c r="O101" s="52">
        <f t="shared" si="16"/>
        <v>28687</v>
      </c>
      <c r="P101" s="53">
        <f t="shared" si="17"/>
        <v>0</v>
      </c>
      <c r="Q101" s="47"/>
      <c r="R101" s="60"/>
      <c r="S101" s="56">
        <f t="shared" si="18"/>
        <v>659</v>
      </c>
      <c r="T101" s="57">
        <f t="shared" si="19"/>
        <v>28028</v>
      </c>
      <c r="U101" s="57">
        <f t="shared" si="20"/>
        <v>28687</v>
      </c>
      <c r="V101" s="57">
        <f t="shared" si="21"/>
        <v>0</v>
      </c>
      <c r="W101" s="58">
        <f t="shared" si="14"/>
        <v>28028</v>
      </c>
      <c r="X101" s="60"/>
      <c r="Y101" s="60"/>
      <c r="Z101" s="60"/>
      <c r="AA101" s="60"/>
    </row>
    <row r="102" spans="1:27" ht="12.75">
      <c r="A102" s="2"/>
      <c r="B102" s="10" t="s">
        <v>35</v>
      </c>
      <c r="C102" s="74">
        <f>8795+2917+511+42</f>
        <v>12265</v>
      </c>
      <c r="D102" s="76"/>
      <c r="E102" s="76"/>
      <c r="F102" s="76">
        <v>232</v>
      </c>
      <c r="G102" s="76"/>
      <c r="H102" s="76"/>
      <c r="I102" s="76"/>
      <c r="J102" s="77">
        <v>14833</v>
      </c>
      <c r="K102" s="70"/>
      <c r="L102" s="70"/>
      <c r="M102" s="72">
        <f t="shared" si="25"/>
        <v>28580</v>
      </c>
      <c r="N102" s="46">
        <f t="shared" si="15"/>
        <v>27330</v>
      </c>
      <c r="O102" s="52">
        <f t="shared" si="16"/>
        <v>28580</v>
      </c>
      <c r="P102" s="53">
        <f t="shared" si="17"/>
        <v>0</v>
      </c>
      <c r="Q102" s="47"/>
      <c r="R102" s="60"/>
      <c r="S102" s="56">
        <f t="shared" si="18"/>
        <v>1250</v>
      </c>
      <c r="T102" s="57">
        <f t="shared" si="19"/>
        <v>27330</v>
      </c>
      <c r="U102" s="57">
        <f t="shared" si="20"/>
        <v>28580</v>
      </c>
      <c r="V102" s="57">
        <f t="shared" si="21"/>
        <v>0</v>
      </c>
      <c r="W102" s="58">
        <f t="shared" si="14"/>
        <v>27330</v>
      </c>
      <c r="X102" s="60"/>
      <c r="Y102" s="60"/>
      <c r="Z102" s="60"/>
      <c r="AA102" s="60"/>
    </row>
    <row r="103" spans="1:27" ht="12.75">
      <c r="A103" s="1" t="s">
        <v>54</v>
      </c>
      <c r="B103" s="9" t="s">
        <v>36</v>
      </c>
      <c r="C103" s="72">
        <f>9232+2709</f>
        <v>11941</v>
      </c>
      <c r="D103" s="72"/>
      <c r="E103" s="72"/>
      <c r="F103" s="72">
        <v>16</v>
      </c>
      <c r="G103" s="72">
        <v>1748</v>
      </c>
      <c r="H103" s="72"/>
      <c r="I103" s="72"/>
      <c r="J103" s="72">
        <v>34739</v>
      </c>
      <c r="K103" s="72"/>
      <c r="L103" s="72"/>
      <c r="M103" s="72">
        <f t="shared" si="25"/>
        <v>51262</v>
      </c>
      <c r="N103" s="46">
        <f t="shared" si="15"/>
        <v>48444</v>
      </c>
      <c r="O103" s="52">
        <f t="shared" si="16"/>
        <v>51262</v>
      </c>
      <c r="P103" s="53">
        <f t="shared" si="17"/>
        <v>0</v>
      </c>
      <c r="Q103" s="50"/>
      <c r="R103" s="60"/>
      <c r="S103" s="56">
        <f t="shared" si="18"/>
        <v>2818</v>
      </c>
      <c r="T103" s="57">
        <f t="shared" si="19"/>
        <v>48444</v>
      </c>
      <c r="U103" s="57">
        <f t="shared" si="20"/>
        <v>51262</v>
      </c>
      <c r="V103" s="57">
        <f t="shared" si="21"/>
        <v>0</v>
      </c>
      <c r="W103" s="58">
        <f t="shared" si="14"/>
        <v>48444</v>
      </c>
      <c r="X103" s="60"/>
      <c r="Y103" s="60"/>
      <c r="Z103" s="60"/>
      <c r="AA103" s="60"/>
    </row>
    <row r="104" spans="1:27" ht="12.75">
      <c r="A104" s="30"/>
      <c r="B104" s="31" t="s">
        <v>37</v>
      </c>
      <c r="C104" s="72">
        <f>1429+2+3457+989+275</f>
        <v>6152</v>
      </c>
      <c r="D104" s="72"/>
      <c r="E104" s="72"/>
      <c r="F104" s="72">
        <v>58</v>
      </c>
      <c r="G104" s="72">
        <v>60</v>
      </c>
      <c r="H104" s="72"/>
      <c r="I104" s="72"/>
      <c r="J104" s="72">
        <v>44077</v>
      </c>
      <c r="K104" s="72"/>
      <c r="L104" s="72"/>
      <c r="M104" s="72">
        <f t="shared" si="25"/>
        <v>50957</v>
      </c>
      <c r="N104" s="46">
        <f t="shared" si="15"/>
        <v>50347</v>
      </c>
      <c r="O104" s="52">
        <f t="shared" si="16"/>
        <v>50957</v>
      </c>
      <c r="P104" s="53">
        <f t="shared" si="17"/>
        <v>0</v>
      </c>
      <c r="Q104" s="50"/>
      <c r="R104" s="60"/>
      <c r="S104" s="56">
        <f t="shared" si="18"/>
        <v>610</v>
      </c>
      <c r="T104" s="57">
        <f t="shared" si="19"/>
        <v>50347</v>
      </c>
      <c r="U104" s="57">
        <f t="shared" si="20"/>
        <v>50957</v>
      </c>
      <c r="V104" s="57">
        <f t="shared" si="21"/>
        <v>0</v>
      </c>
      <c r="W104" s="58">
        <f t="shared" si="14"/>
        <v>50347</v>
      </c>
      <c r="X104" s="60"/>
      <c r="Y104" s="60"/>
      <c r="Z104" s="60"/>
      <c r="AA104" s="60"/>
    </row>
    <row r="105" spans="1:27" ht="12.75">
      <c r="A105" s="2"/>
      <c r="B105" s="9" t="s">
        <v>55</v>
      </c>
      <c r="C105" s="70">
        <f>3034+5335</f>
        <v>8369</v>
      </c>
      <c r="D105" s="70"/>
      <c r="E105" s="70"/>
      <c r="F105" s="70">
        <v>207</v>
      </c>
      <c r="G105" s="70">
        <v>3</v>
      </c>
      <c r="H105" s="70"/>
      <c r="I105" s="70"/>
      <c r="J105" s="72">
        <v>21776</v>
      </c>
      <c r="K105" s="70"/>
      <c r="L105" s="70"/>
      <c r="M105" s="72">
        <f t="shared" si="25"/>
        <v>30818</v>
      </c>
      <c r="N105" s="46">
        <f t="shared" si="15"/>
        <v>30355</v>
      </c>
      <c r="O105" s="52">
        <f t="shared" si="16"/>
        <v>30818</v>
      </c>
      <c r="P105" s="53">
        <f t="shared" si="17"/>
        <v>0</v>
      </c>
      <c r="Q105" s="47"/>
      <c r="R105" s="60"/>
      <c r="S105" s="56">
        <f t="shared" si="18"/>
        <v>463</v>
      </c>
      <c r="T105" s="57">
        <f t="shared" si="19"/>
        <v>30355</v>
      </c>
      <c r="U105" s="57">
        <f t="shared" si="20"/>
        <v>30818</v>
      </c>
      <c r="V105" s="57">
        <f t="shared" si="21"/>
        <v>0</v>
      </c>
      <c r="W105" s="58">
        <f t="shared" si="14"/>
        <v>30355</v>
      </c>
      <c r="X105" s="60"/>
      <c r="Y105" s="60"/>
      <c r="Z105" s="60"/>
      <c r="AA105" s="60"/>
    </row>
    <row r="106" spans="1:27" ht="12.75">
      <c r="A106" s="2"/>
      <c r="B106" s="9" t="s">
        <v>39</v>
      </c>
      <c r="C106" s="70">
        <f>70+612</f>
        <v>682</v>
      </c>
      <c r="D106" s="72"/>
      <c r="E106" s="70"/>
      <c r="F106" s="72">
        <v>5</v>
      </c>
      <c r="G106" s="70">
        <v>95</v>
      </c>
      <c r="H106" s="70"/>
      <c r="I106" s="70"/>
      <c r="J106" s="72">
        <v>46225</v>
      </c>
      <c r="K106" s="70"/>
      <c r="L106" s="70"/>
      <c r="M106" s="72">
        <f t="shared" si="25"/>
        <v>47357</v>
      </c>
      <c r="N106" s="46">
        <f t="shared" si="15"/>
        <v>47007</v>
      </c>
      <c r="O106" s="52">
        <f t="shared" si="16"/>
        <v>47357</v>
      </c>
      <c r="P106" s="53">
        <f t="shared" si="17"/>
        <v>0</v>
      </c>
      <c r="Q106" s="47"/>
      <c r="R106" s="60"/>
      <c r="S106" s="56">
        <f t="shared" si="18"/>
        <v>350</v>
      </c>
      <c r="T106" s="57">
        <f t="shared" si="19"/>
        <v>47007</v>
      </c>
      <c r="U106" s="57">
        <f t="shared" si="20"/>
        <v>47357</v>
      </c>
      <c r="V106" s="57">
        <f t="shared" si="21"/>
        <v>0</v>
      </c>
      <c r="W106" s="58">
        <f t="shared" si="14"/>
        <v>47007</v>
      </c>
      <c r="X106" s="60"/>
      <c r="Y106" s="60"/>
      <c r="Z106" s="60"/>
      <c r="AA106" s="60"/>
    </row>
    <row r="107" spans="1:27" ht="12.75">
      <c r="A107" s="2"/>
      <c r="B107" s="9" t="s">
        <v>40</v>
      </c>
      <c r="C107" s="70">
        <f>24+395</f>
        <v>419</v>
      </c>
      <c r="D107" s="70"/>
      <c r="E107" s="70"/>
      <c r="F107" s="70">
        <v>25</v>
      </c>
      <c r="G107" s="70"/>
      <c r="H107" s="70"/>
      <c r="I107" s="70"/>
      <c r="J107" s="72">
        <v>5956</v>
      </c>
      <c r="K107" s="70"/>
      <c r="L107" s="70"/>
      <c r="M107" s="72">
        <f t="shared" si="25"/>
        <v>7403</v>
      </c>
      <c r="N107" s="46">
        <f t="shared" si="15"/>
        <v>6400</v>
      </c>
      <c r="O107" s="52">
        <f t="shared" si="16"/>
        <v>7403</v>
      </c>
      <c r="P107" s="53">
        <f t="shared" si="17"/>
        <v>0</v>
      </c>
      <c r="Q107" s="47"/>
      <c r="R107" s="60"/>
      <c r="S107" s="56">
        <f t="shared" si="18"/>
        <v>1003</v>
      </c>
      <c r="T107" s="57">
        <f t="shared" si="19"/>
        <v>6400</v>
      </c>
      <c r="U107" s="57">
        <f t="shared" si="20"/>
        <v>7403</v>
      </c>
      <c r="V107" s="57">
        <f t="shared" si="21"/>
        <v>0</v>
      </c>
      <c r="W107" s="58">
        <f t="shared" si="14"/>
        <v>6400</v>
      </c>
      <c r="X107" s="60"/>
      <c r="Y107" s="60"/>
      <c r="Z107" s="60"/>
      <c r="AA107" s="60"/>
    </row>
    <row r="108" spans="1:27" ht="12.75">
      <c r="A108" s="30"/>
      <c r="B108" s="31" t="s">
        <v>41</v>
      </c>
      <c r="C108" s="72">
        <f>35+169</f>
        <v>204</v>
      </c>
      <c r="D108" s="72"/>
      <c r="E108" s="72"/>
      <c r="F108" s="72">
        <v>83</v>
      </c>
      <c r="G108" s="72"/>
      <c r="H108" s="72"/>
      <c r="I108" s="72"/>
      <c r="J108" s="72">
        <v>3314</v>
      </c>
      <c r="K108" s="72"/>
      <c r="L108" s="72"/>
      <c r="M108" s="72">
        <f t="shared" si="25"/>
        <v>5735</v>
      </c>
      <c r="N108" s="46">
        <f t="shared" si="15"/>
        <v>3601</v>
      </c>
      <c r="O108" s="52">
        <f t="shared" si="16"/>
        <v>5735</v>
      </c>
      <c r="P108" s="53">
        <f t="shared" si="17"/>
        <v>0</v>
      </c>
      <c r="Q108" s="50"/>
      <c r="R108" s="62"/>
      <c r="S108" s="56">
        <f t="shared" si="18"/>
        <v>2134</v>
      </c>
      <c r="T108" s="57">
        <f t="shared" si="19"/>
        <v>3601</v>
      </c>
      <c r="U108" s="57">
        <f t="shared" si="20"/>
        <v>5735</v>
      </c>
      <c r="V108" s="57">
        <f t="shared" si="21"/>
        <v>0</v>
      </c>
      <c r="W108" s="63">
        <f t="shared" si="14"/>
        <v>3601</v>
      </c>
      <c r="X108" s="62"/>
      <c r="Y108" s="60"/>
      <c r="Z108" s="60"/>
      <c r="AA108" s="60"/>
    </row>
    <row r="109" spans="1:27" ht="12.75">
      <c r="A109" s="2"/>
      <c r="B109" s="9" t="s">
        <v>67</v>
      </c>
      <c r="C109" s="72"/>
      <c r="D109" s="70"/>
      <c r="E109" s="70"/>
      <c r="F109" s="70">
        <v>33</v>
      </c>
      <c r="G109" s="70"/>
      <c r="H109" s="70"/>
      <c r="I109" s="70"/>
      <c r="J109" s="72">
        <v>15640</v>
      </c>
      <c r="K109" s="70"/>
      <c r="L109" s="70"/>
      <c r="M109" s="72">
        <f t="shared" si="25"/>
        <v>16781</v>
      </c>
      <c r="N109" s="46">
        <f t="shared" si="15"/>
        <v>15673</v>
      </c>
      <c r="O109" s="52">
        <f t="shared" si="16"/>
        <v>16781</v>
      </c>
      <c r="P109" s="53">
        <f t="shared" si="17"/>
        <v>0</v>
      </c>
      <c r="Q109" s="47"/>
      <c r="R109" s="60"/>
      <c r="S109" s="56">
        <f t="shared" si="18"/>
        <v>1108</v>
      </c>
      <c r="T109" s="57">
        <f t="shared" si="19"/>
        <v>15673</v>
      </c>
      <c r="U109" s="57">
        <f t="shared" si="20"/>
        <v>16781</v>
      </c>
      <c r="V109" s="57">
        <f t="shared" si="21"/>
        <v>0</v>
      </c>
      <c r="W109" s="58">
        <f t="shared" si="14"/>
        <v>15673</v>
      </c>
      <c r="X109" s="60"/>
      <c r="Y109" s="60"/>
      <c r="Z109" s="60"/>
      <c r="AA109" s="60"/>
    </row>
    <row r="110" spans="1:27" ht="12.75">
      <c r="A110" s="2"/>
      <c r="B110" s="9" t="s">
        <v>42</v>
      </c>
      <c r="C110" s="70"/>
      <c r="D110" s="70"/>
      <c r="E110" s="70"/>
      <c r="F110" s="70"/>
      <c r="G110" s="70"/>
      <c r="H110" s="70"/>
      <c r="I110" s="70"/>
      <c r="J110" s="72">
        <v>35800</v>
      </c>
      <c r="K110" s="70"/>
      <c r="L110" s="70"/>
      <c r="M110" s="72">
        <f t="shared" si="25"/>
        <v>38389</v>
      </c>
      <c r="N110" s="46">
        <f t="shared" si="15"/>
        <v>35800</v>
      </c>
      <c r="O110" s="52">
        <f t="shared" si="16"/>
        <v>38389</v>
      </c>
      <c r="P110" s="53">
        <f t="shared" si="17"/>
        <v>0</v>
      </c>
      <c r="Q110" s="47"/>
      <c r="R110" s="60"/>
      <c r="S110" s="56">
        <f t="shared" si="18"/>
        <v>2589</v>
      </c>
      <c r="T110" s="57">
        <f t="shared" si="19"/>
        <v>35800</v>
      </c>
      <c r="U110" s="57">
        <f t="shared" si="20"/>
        <v>38389</v>
      </c>
      <c r="V110" s="57">
        <f t="shared" si="21"/>
        <v>0</v>
      </c>
      <c r="W110" s="58">
        <f t="shared" si="14"/>
        <v>35800</v>
      </c>
      <c r="X110" s="60"/>
      <c r="Y110" s="60"/>
      <c r="Z110" s="60"/>
      <c r="AA110" s="60"/>
    </row>
    <row r="111" spans="1:27" ht="12.75">
      <c r="A111" s="2"/>
      <c r="B111" s="9" t="s">
        <v>43</v>
      </c>
      <c r="C111" s="70">
        <f>1761+191+778+170+50</f>
        <v>2950</v>
      </c>
      <c r="D111" s="70"/>
      <c r="E111" s="70"/>
      <c r="F111" s="70">
        <v>214</v>
      </c>
      <c r="G111" s="70"/>
      <c r="H111" s="70"/>
      <c r="I111" s="70"/>
      <c r="J111" s="72">
        <v>5609</v>
      </c>
      <c r="K111" s="70"/>
      <c r="L111" s="70"/>
      <c r="M111" s="72">
        <f t="shared" si="25"/>
        <v>10598</v>
      </c>
      <c r="N111" s="46">
        <f t="shared" si="15"/>
        <v>8773</v>
      </c>
      <c r="O111" s="52">
        <f t="shared" si="16"/>
        <v>10598</v>
      </c>
      <c r="P111" s="53">
        <f t="shared" si="17"/>
        <v>0</v>
      </c>
      <c r="Q111" s="47"/>
      <c r="R111" s="60"/>
      <c r="S111" s="56">
        <f t="shared" si="18"/>
        <v>1825</v>
      </c>
      <c r="T111" s="57">
        <f t="shared" si="19"/>
        <v>8773</v>
      </c>
      <c r="U111" s="57">
        <f t="shared" si="20"/>
        <v>10598</v>
      </c>
      <c r="V111" s="57">
        <f t="shared" si="21"/>
        <v>0</v>
      </c>
      <c r="W111" s="58">
        <f t="shared" si="14"/>
        <v>8773</v>
      </c>
      <c r="X111" s="60"/>
      <c r="Y111" s="60"/>
      <c r="Z111" s="60"/>
      <c r="AA111" s="60"/>
    </row>
    <row r="112" spans="1:17" ht="12.75">
      <c r="A112" s="2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5"/>
      <c r="O112" s="37"/>
      <c r="P112" s="37"/>
      <c r="Q112" s="37"/>
    </row>
    <row r="113" spans="1:17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30"/>
      <c r="O113" s="2"/>
      <c r="P113" s="2"/>
      <c r="Q113" s="2"/>
    </row>
    <row r="114" spans="1:17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30"/>
      <c r="O114" s="2"/>
      <c r="P114" s="2"/>
      <c r="Q114" s="2"/>
    </row>
    <row r="115" spans="1:17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30"/>
      <c r="O115" s="2"/>
      <c r="P115" s="2"/>
      <c r="Q115" s="2"/>
    </row>
    <row r="116" spans="1:17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30"/>
      <c r="O116" s="2"/>
      <c r="P116" s="2"/>
      <c r="Q116" s="2"/>
    </row>
    <row r="117" spans="1:17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30"/>
      <c r="O117" s="2"/>
      <c r="P117" s="2"/>
      <c r="Q117" s="2"/>
    </row>
    <row r="118" spans="1:17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30"/>
      <c r="O118" s="2"/>
      <c r="P118" s="2"/>
      <c r="Q118" s="2"/>
    </row>
    <row r="119" spans="1:17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30"/>
      <c r="O119" s="2"/>
      <c r="P119" s="2"/>
      <c r="Q119" s="2"/>
    </row>
    <row r="120" spans="1:17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30"/>
      <c r="O120" s="2"/>
      <c r="P120" s="2"/>
      <c r="Q120" s="2"/>
    </row>
    <row r="121" spans="1:17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30"/>
      <c r="O121" s="2"/>
      <c r="P121" s="2"/>
      <c r="Q121" s="2"/>
    </row>
    <row r="122" spans="1:17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30"/>
      <c r="O122" s="2"/>
      <c r="P122" s="2"/>
      <c r="Q122" s="2"/>
    </row>
    <row r="123" spans="1:17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30"/>
      <c r="O123" s="2"/>
      <c r="P123" s="2"/>
      <c r="Q123" s="2"/>
    </row>
    <row r="124" spans="1:17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30"/>
      <c r="O124" s="2"/>
      <c r="P124" s="2"/>
      <c r="Q124" s="2"/>
    </row>
    <row r="125" spans="1:17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30"/>
      <c r="O125" s="2"/>
      <c r="P125" s="2"/>
      <c r="Q125" s="2"/>
    </row>
    <row r="126" spans="1:17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30"/>
      <c r="O126" s="2"/>
      <c r="P126" s="2"/>
      <c r="Q126" s="2"/>
    </row>
    <row r="127" spans="1:17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30"/>
      <c r="O127" s="2"/>
      <c r="P127" s="2"/>
      <c r="Q127" s="2"/>
    </row>
    <row r="128" spans="1:17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30"/>
      <c r="O128" s="2"/>
      <c r="P128" s="2"/>
      <c r="Q128" s="2"/>
    </row>
    <row r="129" spans="1:17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30"/>
      <c r="O129" s="2"/>
      <c r="P129" s="2"/>
      <c r="Q129" s="2"/>
    </row>
    <row r="130" spans="1:17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30"/>
      <c r="O130" s="2"/>
      <c r="P130" s="2"/>
      <c r="Q130" s="2"/>
    </row>
    <row r="131" spans="1:17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30"/>
      <c r="O131" s="2"/>
      <c r="P131" s="2"/>
      <c r="Q131" s="2"/>
    </row>
  </sheetData>
  <sheetProtection/>
  <mergeCells count="14">
    <mergeCell ref="C62:C64"/>
    <mergeCell ref="L62:M64"/>
    <mergeCell ref="H63:I63"/>
    <mergeCell ref="H64:I64"/>
    <mergeCell ref="D63:F63"/>
    <mergeCell ref="S8:X8"/>
    <mergeCell ref="B57:M57"/>
    <mergeCell ref="B59:M59"/>
    <mergeCell ref="B60:M60"/>
    <mergeCell ref="M8:M9"/>
    <mergeCell ref="B1:M1"/>
    <mergeCell ref="B3:M3"/>
    <mergeCell ref="B4:M4"/>
    <mergeCell ref="C7:M7"/>
  </mergeCells>
  <printOptions/>
  <pageMargins left="0.984251968503937" right="0" top="0" bottom="0.5905511811023623" header="0" footer="0"/>
  <pageSetup firstPageNumber="299" useFirstPageNumber="1" horizontalDpi="600" verticalDpi="600" orientation="landscape" scale="74" r:id="rId2"/>
  <headerFooter alignWithMargins="0">
    <oddFooter>&amp;C&amp;"Arial,Negrita"&amp;P</oddFooter>
  </headerFooter>
  <rowBreaks count="1" manualBreakCount="1">
    <brk id="56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olascoaga</cp:lastModifiedBy>
  <cp:lastPrinted>2010-08-09T22:51:14Z</cp:lastPrinted>
  <dcterms:created xsi:type="dcterms:W3CDTF">2004-01-22T15:58:21Z</dcterms:created>
  <dcterms:modified xsi:type="dcterms:W3CDTF">2010-08-09T22:56:31Z</dcterms:modified>
  <cp:category/>
  <cp:version/>
  <cp:contentType/>
  <cp:contentStatus/>
</cp:coreProperties>
</file>