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TIEN504" sheetId="1" r:id="rId1"/>
  </sheets>
  <definedNames>
    <definedName name="_Key1" hidden="1">'TIEN504'!$B$191:$L$192</definedName>
    <definedName name="_Order1" hidden="1">255</definedName>
    <definedName name="_Regression_Int" localSheetId="0" hidden="1">1</definedName>
    <definedName name="_Sort" hidden="1">'TIEN504'!$B$191:$L$192</definedName>
    <definedName name="_xlnm.Print_Area" localSheetId="0">'TIEN504'!$A$13:$M$235</definedName>
    <definedName name="Imprimir_área_IM" localSheetId="0">'TIEN504'!$A$13:$M$235</definedName>
    <definedName name="Imprimir_títulos_IM" localSheetId="0">'TIEN504'!$1:$12</definedName>
    <definedName name="_xlnm.Print_Area">'TIEN504'!$A$13:$M$235</definedName>
    <definedName name="PRINT_AREA_MI">'TIEN504'!$A$13:$M$235</definedName>
    <definedName name="_xlnm.Print_Titles">'TIEN504'!$1:$12</definedName>
    <definedName name="PRINT_TITLES_MI">'TIEN504'!$1:$12</definedName>
    <definedName name="_xlnm.Print_Titles" localSheetId="0">'TIEN504'!$1:$12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<sst xmlns="http://schemas.openxmlformats.org/spreadsheetml/2006/main" count="197" uniqueCount="176">
  <si>
    <t>ANUARIO ESTADISTICO 2001</t>
  </si>
  <si>
    <t>I</t>
  </si>
  <si>
    <t>II</t>
  </si>
  <si>
    <t>III</t>
  </si>
  <si>
    <t>IV</t>
  </si>
  <si>
    <t>V</t>
  </si>
  <si>
    <t>VI</t>
  </si>
  <si>
    <t>VII</t>
  </si>
  <si>
    <t xml:space="preserve">  VIII</t>
  </si>
  <si>
    <t>FARMACIA</t>
  </si>
  <si>
    <t>FARMACOS</t>
  </si>
  <si>
    <t>ABARROTES</t>
  </si>
  <si>
    <t>ABARROTES NO</t>
  </si>
  <si>
    <t>MERCANCIAS</t>
  </si>
  <si>
    <t>NUM.</t>
  </si>
  <si>
    <t>U B I C A C I O N</t>
  </si>
  <si>
    <t>ETICOS</t>
  </si>
  <si>
    <t>POPULARES</t>
  </si>
  <si>
    <t>PERFUMERIA</t>
  </si>
  <si>
    <t>COMESTIBLES</t>
  </si>
  <si>
    <t>LACTEOS</t>
  </si>
  <si>
    <t>GENERALES</t>
  </si>
  <si>
    <t xml:space="preserve"> OPTICA</t>
  </si>
  <si>
    <t xml:space="preserve">    TOTAL</t>
  </si>
  <si>
    <t xml:space="preserve">  T O T A L</t>
  </si>
  <si>
    <t>AGUASCALIENTES</t>
  </si>
  <si>
    <t>AGUASCALIENTES, AGS.</t>
  </si>
  <si>
    <t>LAZARO CARDENAS</t>
  </si>
  <si>
    <t>BAJA CALIFORNIA</t>
  </si>
  <si>
    <t>MEXICALI</t>
  </si>
  <si>
    <t xml:space="preserve">TIJUANA   </t>
  </si>
  <si>
    <t>HG 5 DE DICIEMBRE</t>
  </si>
  <si>
    <t>TECATE</t>
  </si>
  <si>
    <t>ENSENADA</t>
  </si>
  <si>
    <t>BAJA CALIFORNIA SUR</t>
  </si>
  <si>
    <t xml:space="preserve">LA PAZ  </t>
  </si>
  <si>
    <t>SAN JOSE DEL CABO</t>
  </si>
  <si>
    <t>CAMPECHE</t>
  </si>
  <si>
    <t>CAMPECHE, CAMP.</t>
  </si>
  <si>
    <t>COAHUILA</t>
  </si>
  <si>
    <t>SALTILLO</t>
  </si>
  <si>
    <t>TORREON</t>
  </si>
  <si>
    <t>COLIMA</t>
  </si>
  <si>
    <t>COLIMA, COL.</t>
  </si>
  <si>
    <t xml:space="preserve">MANZANILLO   </t>
  </si>
  <si>
    <t>VILLA DE ALVAREZ</t>
  </si>
  <si>
    <t>CHIAPAS</t>
  </si>
  <si>
    <t>TUXTLA GUTIERREZ</t>
  </si>
  <si>
    <t>TAPACHULA</t>
  </si>
  <si>
    <t>COMITAN</t>
  </si>
  <si>
    <t>SAN CRISTOBAL LAS CASAS</t>
  </si>
  <si>
    <t>CHIHUAHUA</t>
  </si>
  <si>
    <t>NOTA: DEBIDO AL REDONDEO DE LAS CIFRAS, LAS SUMAS PARCIALES NO COINCIDEN CON EL TOTAL.</t>
  </si>
  <si>
    <t>CD. JUAREZ (PRONASE)</t>
  </si>
  <si>
    <t>CHIHUAHUA, CHIH.</t>
  </si>
  <si>
    <t xml:space="preserve">CD. JUAREZ </t>
  </si>
  <si>
    <t>DISTRITO FEDERAL</t>
  </si>
  <si>
    <t>01</t>
  </si>
  <si>
    <t>CHAPULTEPEC</t>
  </si>
  <si>
    <t>02</t>
  </si>
  <si>
    <t>VILLA COAPA</t>
  </si>
  <si>
    <t>04</t>
  </si>
  <si>
    <t>HOSPITAL MILITAR</t>
  </si>
  <si>
    <t>05</t>
  </si>
  <si>
    <t>TLALPAN</t>
  </si>
  <si>
    <t>06</t>
  </si>
  <si>
    <t xml:space="preserve">VERTIZ </t>
  </si>
  <si>
    <t>07</t>
  </si>
  <si>
    <t>ZARAGOZA</t>
  </si>
  <si>
    <t>COYOACAN</t>
  </si>
  <si>
    <t>53</t>
  </si>
  <si>
    <t>TRES GUERRAS</t>
  </si>
  <si>
    <t>72</t>
  </si>
  <si>
    <t>BUEN TONO (SECOFI)</t>
  </si>
  <si>
    <t>98</t>
  </si>
  <si>
    <t>BALBUENA</t>
  </si>
  <si>
    <t>5 DE DICIEMBRE</t>
  </si>
  <si>
    <t>H.R. "A. LOPEZ MATEOS"</t>
  </si>
  <si>
    <t>H.R. "PRIMERO DE OCTUBRE"</t>
  </si>
  <si>
    <t>H.G. "FERNANDO QUIROZ"</t>
  </si>
  <si>
    <t>H.G. "GONZALO CASTAÑEDA"</t>
  </si>
  <si>
    <t>H.G. TACUBA</t>
  </si>
  <si>
    <t>H.G. "JOSE MA. MORELOS"</t>
  </si>
  <si>
    <t>DEL VALLE</t>
  </si>
  <si>
    <t>DURANGO</t>
  </si>
  <si>
    <t>DURANGO, DGO.</t>
  </si>
  <si>
    <t>GOMEZ PALACIO</t>
  </si>
  <si>
    <t>GUANAJUATO</t>
  </si>
  <si>
    <t>LEON</t>
  </si>
  <si>
    <t>CELAYA</t>
  </si>
  <si>
    <t>GUERRERO</t>
  </si>
  <si>
    <t>TLAPA DE COMONFORT</t>
  </si>
  <si>
    <t>ACAPULCO</t>
  </si>
  <si>
    <t>IGUALA</t>
  </si>
  <si>
    <t>CHILPANCINGO</t>
  </si>
  <si>
    <t>TECPAN</t>
  </si>
  <si>
    <t>ATOYAC DE ALVAREZ</t>
  </si>
  <si>
    <t>ZIHUATANEJO</t>
  </si>
  <si>
    <t>OMETEPEC</t>
  </si>
  <si>
    <t>CUAJINICUILAPA</t>
  </si>
  <si>
    <t>CHILAPA</t>
  </si>
  <si>
    <t>TIXTLA</t>
  </si>
  <si>
    <t>TAXCO</t>
  </si>
  <si>
    <t>CD. ALTAMIRANO</t>
  </si>
  <si>
    <t xml:space="preserve">GUERRERO                </t>
  </si>
  <si>
    <t>HIDALGO</t>
  </si>
  <si>
    <t>PACHUCA</t>
  </si>
  <si>
    <t>JALISCO</t>
  </si>
  <si>
    <t>GUADALAJARA</t>
  </si>
  <si>
    <t>CD. GUZMAN</t>
  </si>
  <si>
    <t>AUTLAN</t>
  </si>
  <si>
    <t>LAGOS DE MORENO</t>
  </si>
  <si>
    <t xml:space="preserve">ZAPOPAN                 </t>
  </si>
  <si>
    <t>MEXICO</t>
  </si>
  <si>
    <t>TOLUCA</t>
  </si>
  <si>
    <t>MICHOACAN</t>
  </si>
  <si>
    <t>08</t>
  </si>
  <si>
    <t>MORELIA</t>
  </si>
  <si>
    <t>URUAPAN</t>
  </si>
  <si>
    <t>MORELOS</t>
  </si>
  <si>
    <t>11</t>
  </si>
  <si>
    <t xml:space="preserve">CUERNAVACA </t>
  </si>
  <si>
    <t>CUAUTLA</t>
  </si>
  <si>
    <t>CUERNAVACA</t>
  </si>
  <si>
    <t>NAYARIT</t>
  </si>
  <si>
    <t>TEPIC</t>
  </si>
  <si>
    <t>ROSA MORADA</t>
  </si>
  <si>
    <t>ACAPONETA</t>
  </si>
  <si>
    <t>TUXPAN</t>
  </si>
  <si>
    <t>IXTLAN DEL RIO</t>
  </si>
  <si>
    <t>NUEVO LEON</t>
  </si>
  <si>
    <t>MONTERREY</t>
  </si>
  <si>
    <t>OAXACA</t>
  </si>
  <si>
    <t>OAXACA, OAX.</t>
  </si>
  <si>
    <t>H.R. "PDTE.BENITO JUAREZ"</t>
  </si>
  <si>
    <t>PUEBLA</t>
  </si>
  <si>
    <t>PUEBLA, PUE.</t>
  </si>
  <si>
    <t>JICOTEPEC DE JUAREZ</t>
  </si>
  <si>
    <t>QUERETARO</t>
  </si>
  <si>
    <t>QUERETARO, QRO.</t>
  </si>
  <si>
    <t>SAN JUAN DEL RIO</t>
  </si>
  <si>
    <t>QUINTANA ROO</t>
  </si>
  <si>
    <t>CHETUMAL</t>
  </si>
  <si>
    <t>CANCUN</t>
  </si>
  <si>
    <t>SAN LUIS POTOSI</t>
  </si>
  <si>
    <t>SAN LUIS POTOSI, S.L.P.</t>
  </si>
  <si>
    <t>CD. VALLES</t>
  </si>
  <si>
    <t>SINALOA</t>
  </si>
  <si>
    <t xml:space="preserve">MAZATLAN  </t>
  </si>
  <si>
    <t>CULIACAN</t>
  </si>
  <si>
    <t>SONORA</t>
  </si>
  <si>
    <t>HERMOSILLO</t>
  </si>
  <si>
    <t>CD. OBREGON</t>
  </si>
  <si>
    <t>TABASCO</t>
  </si>
  <si>
    <t>VILLAHERMOSA</t>
  </si>
  <si>
    <t>FRONTERA</t>
  </si>
  <si>
    <t>TAMAULIPAS</t>
  </si>
  <si>
    <t>CD. VICTORIA</t>
  </si>
  <si>
    <t>NUEVO LAREDO</t>
  </si>
  <si>
    <t>CD. ALEMAN</t>
  </si>
  <si>
    <t>TAMPICO</t>
  </si>
  <si>
    <t>MATAMOROS</t>
  </si>
  <si>
    <t>TLAXCALA</t>
  </si>
  <si>
    <t>TLAXCALA, TLAX.</t>
  </si>
  <si>
    <t>APIZACO</t>
  </si>
  <si>
    <t>HUAMANTLA</t>
  </si>
  <si>
    <t>VERACRUZ</t>
  </si>
  <si>
    <t xml:space="preserve">VERACRUZ, VER.          </t>
  </si>
  <si>
    <t>YUCATAN</t>
  </si>
  <si>
    <t>MERIDA</t>
  </si>
  <si>
    <t>ZACATECAS</t>
  </si>
  <si>
    <t>09</t>
  </si>
  <si>
    <t>ZACATECAS, ZAC.</t>
  </si>
  <si>
    <t>FRESNILLO</t>
  </si>
  <si>
    <t>5. 4  VENTAS POR FARMACIA Y LINEA AL 31 DE  DICIEMBRE DEL 2001</t>
  </si>
  <si>
    <t>( MILES DE PESOS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</si>
</sst>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8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8.625" style="0" customWidth="1"/>
    <col min="3" max="3" width="25.625" style="0" customWidth="1"/>
    <col min="4" max="10" width="12.625" style="0" customWidth="1"/>
    <col min="11" max="11" width="10.125" style="0" customWidth="1"/>
    <col min="12" max="12" width="12.625" style="0" customWidth="1"/>
    <col min="13" max="13" width="1.625" style="0" customWidth="1"/>
    <col min="14" max="14" width="10.625" style="0" customWidth="1"/>
  </cols>
  <sheetData>
    <row r="1" spans="1:13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17" t="s">
        <v>174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3"/>
      <c r="B5" s="17" t="s">
        <v>175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</row>
    <row r="8" spans="1:13" ht="12.75">
      <c r="A8" s="3"/>
      <c r="B8" s="15"/>
      <c r="C8" s="15"/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16"/>
      <c r="M8" s="3"/>
    </row>
    <row r="9" spans="1:13" ht="12.75">
      <c r="A9" s="3"/>
      <c r="B9" s="4" t="s">
        <v>9</v>
      </c>
      <c r="C9" s="15"/>
      <c r="D9" s="4" t="s">
        <v>10</v>
      </c>
      <c r="E9" s="4" t="s">
        <v>10</v>
      </c>
      <c r="F9" s="15"/>
      <c r="G9" s="4" t="s">
        <v>11</v>
      </c>
      <c r="H9" s="4" t="s">
        <v>12</v>
      </c>
      <c r="I9" s="15"/>
      <c r="J9" s="4" t="s">
        <v>13</v>
      </c>
      <c r="K9" s="15"/>
      <c r="L9" s="15"/>
      <c r="M9" s="3"/>
    </row>
    <row r="10" spans="1:13" ht="12.75">
      <c r="A10" s="3"/>
      <c r="B10" s="4" t="s">
        <v>14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3"/>
    </row>
    <row r="11" spans="1:13" ht="12.75">
      <c r="A11" s="3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12.75">
      <c r="A12" s="3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3"/>
      <c r="N12" s="1"/>
    </row>
    <row r="13" spans="1:14" ht="12.75">
      <c r="A13" s="3"/>
      <c r="B13" s="3"/>
      <c r="C13" s="9" t="s">
        <v>24</v>
      </c>
      <c r="D13" s="10">
        <f aca="true" t="shared" si="0" ref="D13:J13">D15+D20+D28+D33+D38+D43+D49+D56+D63+D84+D91+D97+D115+D121+D130+D134+D140+D146+D155+D161+D167+D172+D178+D183+D189+D195+D200+D205+D213+D219+D223+D228</f>
        <v>1680456.0870000003</v>
      </c>
      <c r="E13" s="10">
        <f t="shared" si="0"/>
        <v>137606</v>
      </c>
      <c r="F13" s="10">
        <f t="shared" si="0"/>
        <v>96019</v>
      </c>
      <c r="G13" s="10">
        <f t="shared" si="0"/>
        <v>134347.15000000002</v>
      </c>
      <c r="H13" s="10">
        <f t="shared" si="0"/>
        <v>286398</v>
      </c>
      <c r="I13" s="10">
        <f t="shared" si="0"/>
        <v>187964</v>
      </c>
      <c r="J13" s="10">
        <f t="shared" si="0"/>
        <v>19760.917999999998</v>
      </c>
      <c r="K13" s="10">
        <f>SUM(K15:K232)/2</f>
        <v>0</v>
      </c>
      <c r="L13" s="10">
        <f>L15+L20+L28+L33+L38+L43+L49+L56+L63+L84+L91+L97+L115+L121+L130+L134+L140+L146+L155+L161+L167+L172+L178+L183+L189+L195+L200+L205+L213+L219+L223+L228-1</f>
        <v>2542549.155</v>
      </c>
      <c r="M13" s="5"/>
      <c r="N13" s="1"/>
    </row>
    <row r="14" spans="1:13" ht="12.75">
      <c r="A14" s="3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12.75">
      <c r="A15" s="3"/>
      <c r="B15" s="3"/>
      <c r="C15" s="9" t="s">
        <v>25</v>
      </c>
      <c r="D15" s="5">
        <f aca="true" t="shared" si="1" ref="D15:L15">SUM(D17:D18)</f>
        <v>18391.423000000003</v>
      </c>
      <c r="E15" s="5">
        <f t="shared" si="1"/>
        <v>1585</v>
      </c>
      <c r="F15" s="5">
        <f t="shared" si="1"/>
        <v>2102</v>
      </c>
      <c r="G15" s="5">
        <f t="shared" si="1"/>
        <v>2780</v>
      </c>
      <c r="H15" s="5">
        <f t="shared" si="1"/>
        <v>7130</v>
      </c>
      <c r="I15" s="5">
        <f t="shared" si="1"/>
        <v>4727</v>
      </c>
      <c r="J15" s="5">
        <f t="shared" si="1"/>
        <v>279</v>
      </c>
      <c r="K15" s="5">
        <f t="shared" si="1"/>
        <v>0</v>
      </c>
      <c r="L15" s="5">
        <f t="shared" si="1"/>
        <v>36994.423</v>
      </c>
      <c r="M15" s="5"/>
      <c r="N15" s="1"/>
    </row>
    <row r="16" spans="1:14" ht="12.75">
      <c r="A16" s="3"/>
      <c r="B16" s="3"/>
      <c r="C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4" ht="12.75">
      <c r="A17" s="3"/>
      <c r="B17" s="6">
        <v>16</v>
      </c>
      <c r="C17" s="2" t="s">
        <v>26</v>
      </c>
      <c r="D17" s="5">
        <f>10901423/1000</f>
        <v>10901.423</v>
      </c>
      <c r="E17" s="5">
        <v>1009</v>
      </c>
      <c r="F17" s="5">
        <v>1264</v>
      </c>
      <c r="G17" s="5">
        <v>1115</v>
      </c>
      <c r="H17" s="5">
        <v>3001</v>
      </c>
      <c r="I17" s="5">
        <v>2592</v>
      </c>
      <c r="J17" s="5">
        <v>152</v>
      </c>
      <c r="K17" s="5"/>
      <c r="L17" s="5">
        <f>SUM(D17:K17)</f>
        <v>20034.423000000003</v>
      </c>
      <c r="M17" s="5"/>
      <c r="N17" s="1"/>
    </row>
    <row r="18" spans="1:14" ht="12.75">
      <c r="A18" s="3"/>
      <c r="B18" s="6">
        <v>84</v>
      </c>
      <c r="C18" s="2" t="s">
        <v>27</v>
      </c>
      <c r="D18" s="5">
        <v>7490</v>
      </c>
      <c r="E18" s="5">
        <v>576</v>
      </c>
      <c r="F18" s="5">
        <v>838</v>
      </c>
      <c r="G18" s="5">
        <v>1665</v>
      </c>
      <c r="H18" s="5">
        <v>4129</v>
      </c>
      <c r="I18" s="5">
        <v>2135</v>
      </c>
      <c r="J18" s="5">
        <v>127</v>
      </c>
      <c r="K18" s="5"/>
      <c r="L18" s="5">
        <f>SUM(D18:K18)</f>
        <v>16960</v>
      </c>
      <c r="M18" s="5"/>
      <c r="N18" s="1"/>
    </row>
    <row r="19" spans="1:14" ht="12.75">
      <c r="A19" s="3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2.75">
      <c r="A20" s="3"/>
      <c r="B20" s="3"/>
      <c r="C20" s="9" t="s">
        <v>28</v>
      </c>
      <c r="D20" s="5">
        <f aca="true" t="shared" si="2" ref="D20:L20">SUM(D22:D26)</f>
        <v>88156.235</v>
      </c>
      <c r="E20" s="5">
        <f t="shared" si="2"/>
        <v>5113</v>
      </c>
      <c r="F20" s="5">
        <f t="shared" si="2"/>
        <v>597</v>
      </c>
      <c r="G20" s="5">
        <f t="shared" si="2"/>
        <v>180.054</v>
      </c>
      <c r="H20" s="5">
        <f t="shared" si="2"/>
        <v>829</v>
      </c>
      <c r="I20" s="5">
        <f t="shared" si="2"/>
        <v>2128</v>
      </c>
      <c r="J20" s="5">
        <f t="shared" si="2"/>
        <v>61</v>
      </c>
      <c r="K20" s="5">
        <f t="shared" si="2"/>
        <v>0</v>
      </c>
      <c r="L20" s="5">
        <f t="shared" si="2"/>
        <v>97064.289</v>
      </c>
      <c r="M20" s="5"/>
      <c r="N20" s="1"/>
    </row>
    <row r="21" spans="1:14" ht="12.75">
      <c r="A21" s="3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.75">
      <c r="A22" s="3"/>
      <c r="B22" s="6">
        <v>29</v>
      </c>
      <c r="C22" s="2" t="s">
        <v>29</v>
      </c>
      <c r="D22" s="5">
        <v>34493</v>
      </c>
      <c r="E22" s="5">
        <v>863</v>
      </c>
      <c r="F22" s="5">
        <v>265</v>
      </c>
      <c r="G22" s="5">
        <v>0.054</v>
      </c>
      <c r="H22" s="5">
        <v>148</v>
      </c>
      <c r="I22" s="5">
        <v>296</v>
      </c>
      <c r="J22" s="5">
        <v>17</v>
      </c>
      <c r="K22" s="5"/>
      <c r="L22" s="5">
        <f>SUM(D22:K22)</f>
        <v>36082.054</v>
      </c>
      <c r="M22" s="3"/>
      <c r="N22" s="1"/>
    </row>
    <row r="23" spans="1:14" ht="12.75">
      <c r="A23" s="3"/>
      <c r="B23" s="6">
        <v>80</v>
      </c>
      <c r="C23" s="2" t="s">
        <v>30</v>
      </c>
      <c r="D23" s="5">
        <v>30477</v>
      </c>
      <c r="E23" s="5">
        <v>3234</v>
      </c>
      <c r="F23" s="5">
        <v>65</v>
      </c>
      <c r="G23" s="5">
        <v>13</v>
      </c>
      <c r="H23" s="5"/>
      <c r="I23" s="5">
        <v>1175</v>
      </c>
      <c r="J23" s="5">
        <v>17</v>
      </c>
      <c r="K23" s="5"/>
      <c r="L23" s="5">
        <f>SUM(D23:K23)</f>
        <v>34981</v>
      </c>
      <c r="M23" s="5"/>
      <c r="N23" s="1"/>
    </row>
    <row r="24" spans="1:14" ht="12.75">
      <c r="A24" s="3"/>
      <c r="B24" s="6">
        <v>115</v>
      </c>
      <c r="C24" s="2" t="s">
        <v>31</v>
      </c>
      <c r="D24" s="5">
        <v>11664</v>
      </c>
      <c r="E24" s="5">
        <v>513</v>
      </c>
      <c r="F24" s="5">
        <v>57</v>
      </c>
      <c r="G24" s="5">
        <v>19</v>
      </c>
      <c r="H24" s="5">
        <v>303</v>
      </c>
      <c r="I24" s="5">
        <v>359</v>
      </c>
      <c r="J24" s="5">
        <v>9</v>
      </c>
      <c r="K24" s="5"/>
      <c r="L24" s="5">
        <f>SUM(D24:K24)</f>
        <v>12924</v>
      </c>
      <c r="M24" s="5"/>
      <c r="N24" s="1"/>
    </row>
    <row r="25" spans="1:14" ht="12.75">
      <c r="A25" s="3"/>
      <c r="B25" s="6">
        <v>135</v>
      </c>
      <c r="C25" s="2" t="s">
        <v>32</v>
      </c>
      <c r="D25" s="5">
        <v>7991</v>
      </c>
      <c r="E25" s="5">
        <v>249</v>
      </c>
      <c r="F25" s="5">
        <v>162</v>
      </c>
      <c r="G25" s="5">
        <v>104</v>
      </c>
      <c r="H25" s="5">
        <v>317</v>
      </c>
      <c r="I25" s="5">
        <v>243</v>
      </c>
      <c r="J25" s="5">
        <v>18</v>
      </c>
      <c r="K25" s="5"/>
      <c r="L25" s="5">
        <f>SUM(D25:K25)</f>
        <v>9084</v>
      </c>
      <c r="M25" s="5"/>
      <c r="N25" s="1"/>
    </row>
    <row r="26" spans="1:14" ht="12.75">
      <c r="A26" s="3"/>
      <c r="B26" s="6">
        <v>136</v>
      </c>
      <c r="C26" s="2" t="s">
        <v>33</v>
      </c>
      <c r="D26" s="5">
        <f>3532+-0.765</f>
        <v>3531.235</v>
      </c>
      <c r="E26" s="5">
        <v>254</v>
      </c>
      <c r="F26" s="5">
        <v>48</v>
      </c>
      <c r="G26" s="5">
        <v>44</v>
      </c>
      <c r="H26" s="5">
        <v>61</v>
      </c>
      <c r="I26" s="5">
        <v>55</v>
      </c>
      <c r="J26" s="5">
        <v>0</v>
      </c>
      <c r="K26" s="5"/>
      <c r="L26" s="5">
        <f>SUM(D26:K26)</f>
        <v>3993.235</v>
      </c>
      <c r="M26" s="5"/>
      <c r="N26" s="1"/>
    </row>
    <row r="27" spans="1:14" ht="12.75">
      <c r="A27" s="3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2.75">
      <c r="A28" s="3"/>
      <c r="B28" s="3"/>
      <c r="C28" s="9" t="s">
        <v>34</v>
      </c>
      <c r="D28" s="5">
        <f aca="true" t="shared" si="3" ref="D28:J28">SUM(D30:D31)</f>
        <v>53461.595</v>
      </c>
      <c r="E28" s="5">
        <f t="shared" si="3"/>
        <v>7357</v>
      </c>
      <c r="F28" s="5">
        <f t="shared" si="3"/>
        <v>1039</v>
      </c>
      <c r="G28" s="5">
        <f t="shared" si="3"/>
        <v>128</v>
      </c>
      <c r="H28" s="5">
        <f t="shared" si="3"/>
        <v>0</v>
      </c>
      <c r="I28" s="5">
        <f t="shared" si="3"/>
        <v>495</v>
      </c>
      <c r="J28" s="5">
        <f t="shared" si="3"/>
        <v>0</v>
      </c>
      <c r="K28" s="5"/>
      <c r="L28" s="5">
        <f>SUM(L30:L31)</f>
        <v>62480.595</v>
      </c>
      <c r="M28" s="5"/>
      <c r="N28" s="1"/>
    </row>
    <row r="29" spans="1:14" ht="12.75">
      <c r="A29" s="3"/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ht="12.75">
      <c r="A30" s="3"/>
      <c r="B30" s="6">
        <v>12</v>
      </c>
      <c r="C30" s="2" t="s">
        <v>35</v>
      </c>
      <c r="D30" s="5">
        <f>40629+-1.145</f>
        <v>40627.855</v>
      </c>
      <c r="E30" s="5">
        <v>5850</v>
      </c>
      <c r="F30" s="5">
        <v>875</v>
      </c>
      <c r="G30" s="5">
        <v>128</v>
      </c>
      <c r="H30" s="5"/>
      <c r="I30" s="5">
        <v>433</v>
      </c>
      <c r="J30" s="5">
        <v>0</v>
      </c>
      <c r="K30" s="5"/>
      <c r="L30" s="5">
        <f>SUM(D30:K30)</f>
        <v>47913.855</v>
      </c>
      <c r="M30" s="3"/>
      <c r="N30" s="1"/>
    </row>
    <row r="31" spans="1:14" ht="12.75">
      <c r="A31" s="3"/>
      <c r="B31" s="6">
        <v>107</v>
      </c>
      <c r="C31" s="2" t="s">
        <v>36</v>
      </c>
      <c r="D31" s="5">
        <f>12840+-6.26</f>
        <v>12833.74</v>
      </c>
      <c r="E31" s="5">
        <v>1507</v>
      </c>
      <c r="F31" s="5">
        <v>164</v>
      </c>
      <c r="G31" s="5">
        <v>0</v>
      </c>
      <c r="H31" s="5"/>
      <c r="I31" s="5">
        <v>62</v>
      </c>
      <c r="J31" s="5">
        <v>0</v>
      </c>
      <c r="K31" s="5"/>
      <c r="L31" s="5">
        <f>SUM(D31:K31)</f>
        <v>14566.74</v>
      </c>
      <c r="M31" s="5"/>
      <c r="N31" s="1"/>
    </row>
    <row r="32" spans="1:14" ht="12.75">
      <c r="A32" s="3"/>
      <c r="B32" s="3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12.75">
      <c r="A33" s="3"/>
      <c r="B33" s="3"/>
      <c r="C33" s="9" t="s">
        <v>37</v>
      </c>
      <c r="D33" s="5">
        <f aca="true" t="shared" si="4" ref="D33:J33">SUM(D35:D36)</f>
        <v>45931</v>
      </c>
      <c r="E33" s="5">
        <f t="shared" si="4"/>
        <v>2363</v>
      </c>
      <c r="F33" s="5">
        <f t="shared" si="4"/>
        <v>2041</v>
      </c>
      <c r="G33" s="5">
        <f t="shared" si="4"/>
        <v>3585</v>
      </c>
      <c r="H33" s="5">
        <f t="shared" si="4"/>
        <v>8900</v>
      </c>
      <c r="I33" s="5">
        <f t="shared" si="4"/>
        <v>6290</v>
      </c>
      <c r="J33" s="5">
        <f t="shared" si="4"/>
        <v>533</v>
      </c>
      <c r="K33" s="5"/>
      <c r="L33" s="5">
        <f>SUM(L35:L36)</f>
        <v>69643</v>
      </c>
      <c r="M33" s="5"/>
      <c r="N33" s="1"/>
    </row>
    <row r="34" spans="1:14" ht="12.75">
      <c r="A34" s="3"/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12.75">
      <c r="A35" s="3"/>
      <c r="B35" s="6">
        <v>86</v>
      </c>
      <c r="C35" s="2" t="s">
        <v>38</v>
      </c>
      <c r="D35" s="5">
        <v>32615</v>
      </c>
      <c r="E35" s="5">
        <v>1819</v>
      </c>
      <c r="F35" s="5">
        <v>921</v>
      </c>
      <c r="G35" s="5">
        <v>324</v>
      </c>
      <c r="H35" s="5">
        <v>2743</v>
      </c>
      <c r="I35" s="5">
        <v>2590</v>
      </c>
      <c r="J35" s="5">
        <v>178</v>
      </c>
      <c r="K35" s="5"/>
      <c r="L35" s="5">
        <f>SUM(D35:K35)</f>
        <v>41190</v>
      </c>
      <c r="M35" s="5"/>
      <c r="N35" s="1"/>
    </row>
    <row r="36" spans="1:14" ht="12.75">
      <c r="A36" s="3"/>
      <c r="B36" s="6">
        <v>103</v>
      </c>
      <c r="C36" s="2" t="s">
        <v>37</v>
      </c>
      <c r="D36" s="5">
        <v>13316</v>
      </c>
      <c r="E36" s="5">
        <v>544</v>
      </c>
      <c r="F36" s="5">
        <v>1120</v>
      </c>
      <c r="G36" s="5">
        <v>3261</v>
      </c>
      <c r="H36" s="5">
        <v>6157</v>
      </c>
      <c r="I36" s="5">
        <v>3700</v>
      </c>
      <c r="J36" s="5">
        <v>355</v>
      </c>
      <c r="K36" s="5"/>
      <c r="L36" s="5">
        <f>SUM(D36:K36)</f>
        <v>28453</v>
      </c>
      <c r="M36" s="5"/>
      <c r="N36" s="1"/>
    </row>
    <row r="37" spans="1:14" ht="12.75">
      <c r="A37" s="3"/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2.75">
      <c r="A38" s="3"/>
      <c r="B38" s="3"/>
      <c r="C38" s="9" t="s">
        <v>39</v>
      </c>
      <c r="D38" s="5">
        <f aca="true" t="shared" si="5" ref="D38:J38">SUM(D40:D41)</f>
        <v>49273.9</v>
      </c>
      <c r="E38" s="5">
        <f t="shared" si="5"/>
        <v>3672</v>
      </c>
      <c r="F38" s="5">
        <f t="shared" si="5"/>
        <v>1406</v>
      </c>
      <c r="G38" s="5">
        <f t="shared" si="5"/>
        <v>2973</v>
      </c>
      <c r="H38" s="5">
        <f t="shared" si="5"/>
        <v>6664</v>
      </c>
      <c r="I38" s="5">
        <f t="shared" si="5"/>
        <v>0</v>
      </c>
      <c r="J38" s="5">
        <f t="shared" si="5"/>
        <v>314</v>
      </c>
      <c r="K38" s="5"/>
      <c r="L38" s="5">
        <f>SUM(L40:L41)</f>
        <v>64302.9</v>
      </c>
      <c r="M38" s="5"/>
      <c r="N38" s="1"/>
    </row>
    <row r="39" spans="1:14" ht="12.75">
      <c r="A39" s="3"/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2.75">
      <c r="A40" s="3"/>
      <c r="B40" s="6">
        <v>14</v>
      </c>
      <c r="C40" s="2" t="s">
        <v>40</v>
      </c>
      <c r="D40" s="5">
        <f>30178330/1000</f>
        <v>30178.33</v>
      </c>
      <c r="E40" s="5">
        <v>2042</v>
      </c>
      <c r="F40" s="5">
        <v>1099</v>
      </c>
      <c r="G40" s="5">
        <v>1881</v>
      </c>
      <c r="H40" s="5">
        <v>4548</v>
      </c>
      <c r="I40" s="5"/>
      <c r="J40" s="5">
        <v>272</v>
      </c>
      <c r="K40" s="5"/>
      <c r="L40" s="5">
        <f>SUM(D40:K40)</f>
        <v>40020.33</v>
      </c>
      <c r="M40" s="5"/>
      <c r="N40" s="1"/>
    </row>
    <row r="41" spans="1:14" ht="12.75">
      <c r="A41" s="3"/>
      <c r="B41" s="6">
        <v>101</v>
      </c>
      <c r="C41" s="2" t="s">
        <v>41</v>
      </c>
      <c r="D41" s="5">
        <f>19095570/1000</f>
        <v>19095.57</v>
      </c>
      <c r="E41" s="5">
        <v>1630</v>
      </c>
      <c r="F41" s="5">
        <v>307</v>
      </c>
      <c r="G41" s="5">
        <v>1092</v>
      </c>
      <c r="H41" s="5">
        <v>2116</v>
      </c>
      <c r="I41" s="5"/>
      <c r="J41" s="5">
        <v>42</v>
      </c>
      <c r="K41" s="5"/>
      <c r="L41" s="5">
        <f>SUM(D41:K41)</f>
        <v>24282.57</v>
      </c>
      <c r="M41" s="5"/>
      <c r="N41" s="1"/>
    </row>
    <row r="42" spans="1:14" ht="12.75">
      <c r="A42" s="3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2.75">
      <c r="A43" s="3"/>
      <c r="B43" s="3"/>
      <c r="C43" s="9" t="s">
        <v>42</v>
      </c>
      <c r="D43" s="5">
        <f aca="true" t="shared" si="6" ref="D43:J43">SUM(D45:D47)</f>
        <v>39166.451</v>
      </c>
      <c r="E43" s="5">
        <f t="shared" si="6"/>
        <v>7920</v>
      </c>
      <c r="F43" s="5">
        <f t="shared" si="6"/>
        <v>4595</v>
      </c>
      <c r="G43" s="5">
        <f t="shared" si="6"/>
        <v>6674</v>
      </c>
      <c r="H43" s="5">
        <f t="shared" si="6"/>
        <v>12260</v>
      </c>
      <c r="I43" s="5">
        <f t="shared" si="6"/>
        <v>8454</v>
      </c>
      <c r="J43" s="5">
        <f t="shared" si="6"/>
        <v>1086</v>
      </c>
      <c r="K43" s="5"/>
      <c r="L43" s="5">
        <f>SUM(L45:L47)</f>
        <v>80155.451</v>
      </c>
      <c r="M43" s="5"/>
      <c r="N43" s="1"/>
    </row>
    <row r="44" spans="1:14" ht="12.75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3"/>
      <c r="N44" s="1"/>
    </row>
    <row r="45" spans="1:14" ht="12.75">
      <c r="A45" s="3"/>
      <c r="B45" s="6">
        <v>30</v>
      </c>
      <c r="C45" s="2" t="s">
        <v>43</v>
      </c>
      <c r="D45" s="5">
        <f>23109452/1000</f>
        <v>23109.452</v>
      </c>
      <c r="E45" s="5">
        <v>2856</v>
      </c>
      <c r="F45" s="5">
        <v>1428</v>
      </c>
      <c r="G45" s="5">
        <v>2791</v>
      </c>
      <c r="H45" s="5">
        <v>4943</v>
      </c>
      <c r="I45" s="5">
        <v>3449</v>
      </c>
      <c r="J45" s="5">
        <v>259</v>
      </c>
      <c r="K45" s="5"/>
      <c r="L45" s="5">
        <f>SUM(D45:K45)</f>
        <v>38835.452000000005</v>
      </c>
      <c r="M45" s="3"/>
      <c r="N45" s="1"/>
    </row>
    <row r="46" spans="1:14" ht="12.75">
      <c r="A46" s="3"/>
      <c r="B46" s="6">
        <v>95</v>
      </c>
      <c r="C46" s="2" t="s">
        <v>44</v>
      </c>
      <c r="D46" s="5">
        <f>11161840/1000</f>
        <v>11161.84</v>
      </c>
      <c r="E46" s="5">
        <v>3134</v>
      </c>
      <c r="F46" s="5">
        <v>2302</v>
      </c>
      <c r="G46" s="5">
        <v>1601</v>
      </c>
      <c r="H46" s="5">
        <v>3904</v>
      </c>
      <c r="I46" s="5">
        <v>2306</v>
      </c>
      <c r="J46" s="5">
        <v>290</v>
      </c>
      <c r="K46" s="5"/>
      <c r="L46" s="5">
        <f>SUM(D46:K46)</f>
        <v>24698.84</v>
      </c>
      <c r="M46" s="3"/>
      <c r="N46" s="1"/>
    </row>
    <row r="47" spans="1:14" ht="12.75">
      <c r="A47" s="3"/>
      <c r="B47" s="6">
        <v>102</v>
      </c>
      <c r="C47" s="2" t="s">
        <v>45</v>
      </c>
      <c r="D47" s="5">
        <f>4895159/1000</f>
        <v>4895.159</v>
      </c>
      <c r="E47" s="5">
        <v>1930</v>
      </c>
      <c r="F47" s="5">
        <v>865</v>
      </c>
      <c r="G47" s="5">
        <v>2282</v>
      </c>
      <c r="H47" s="5">
        <v>3413</v>
      </c>
      <c r="I47" s="5">
        <v>2699</v>
      </c>
      <c r="J47" s="5">
        <v>537</v>
      </c>
      <c r="K47" s="5"/>
      <c r="L47" s="5">
        <f>SUM(D47:K47)</f>
        <v>16621.159</v>
      </c>
      <c r="M47" s="3"/>
      <c r="N47" s="1"/>
    </row>
    <row r="48" spans="1:14" ht="12.75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3"/>
      <c r="N48" s="1"/>
    </row>
    <row r="49" spans="1:14" ht="12.75">
      <c r="A49" s="3"/>
      <c r="B49" s="3"/>
      <c r="C49" s="9" t="s">
        <v>46</v>
      </c>
      <c r="D49" s="5">
        <f aca="true" t="shared" si="7" ref="D49:L49">SUM(D51:D54)</f>
        <v>23005</v>
      </c>
      <c r="E49" s="5">
        <f t="shared" si="7"/>
        <v>1175</v>
      </c>
      <c r="F49" s="5">
        <f t="shared" si="7"/>
        <v>5107</v>
      </c>
      <c r="G49" s="5">
        <f t="shared" si="7"/>
        <v>13818</v>
      </c>
      <c r="H49" s="5">
        <f t="shared" si="7"/>
        <v>16048</v>
      </c>
      <c r="I49" s="5">
        <f t="shared" si="7"/>
        <v>12900</v>
      </c>
      <c r="J49" s="5">
        <f t="shared" si="7"/>
        <v>1181</v>
      </c>
      <c r="K49" s="5">
        <f t="shared" si="7"/>
        <v>0</v>
      </c>
      <c r="L49" s="5">
        <f t="shared" si="7"/>
        <v>73234</v>
      </c>
      <c r="M49" s="3"/>
      <c r="N49" s="1"/>
    </row>
    <row r="50" spans="1:14" ht="12.7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3"/>
      <c r="N50" s="1"/>
    </row>
    <row r="51" spans="1:14" ht="12.75">
      <c r="A51" s="3"/>
      <c r="B51" s="6">
        <v>38</v>
      </c>
      <c r="C51" s="2" t="s">
        <v>47</v>
      </c>
      <c r="D51" s="5">
        <v>11370</v>
      </c>
      <c r="E51" s="5">
        <v>614</v>
      </c>
      <c r="F51" s="5">
        <v>702</v>
      </c>
      <c r="G51" s="5">
        <v>1987</v>
      </c>
      <c r="H51" s="5">
        <v>2668</v>
      </c>
      <c r="I51" s="5">
        <v>2032</v>
      </c>
      <c r="J51" s="5">
        <v>124</v>
      </c>
      <c r="K51" s="5"/>
      <c r="L51" s="5">
        <f>SUM(D51:K51)</f>
        <v>19497</v>
      </c>
      <c r="M51" s="3"/>
      <c r="N51" s="1"/>
    </row>
    <row r="52" spans="1:14" ht="12.75">
      <c r="A52" s="3"/>
      <c r="B52" s="6">
        <v>71</v>
      </c>
      <c r="C52" s="2" t="s">
        <v>48</v>
      </c>
      <c r="D52" s="5">
        <v>1589</v>
      </c>
      <c r="E52" s="5">
        <v>169</v>
      </c>
      <c r="F52" s="5">
        <v>677</v>
      </c>
      <c r="G52" s="5">
        <v>593</v>
      </c>
      <c r="H52" s="5">
        <v>2933</v>
      </c>
      <c r="I52" s="5">
        <v>2350</v>
      </c>
      <c r="J52" s="5">
        <v>129</v>
      </c>
      <c r="K52" s="5"/>
      <c r="L52" s="5">
        <f>SUM(D52:K52)</f>
        <v>8440</v>
      </c>
      <c r="M52" s="5"/>
      <c r="N52" s="1"/>
    </row>
    <row r="53" spans="1:14" ht="12.75">
      <c r="A53" s="3"/>
      <c r="B53" s="6">
        <v>133</v>
      </c>
      <c r="C53" s="2" t="s">
        <v>49</v>
      </c>
      <c r="D53" s="5">
        <v>1002</v>
      </c>
      <c r="E53" s="5">
        <v>77</v>
      </c>
      <c r="F53" s="5">
        <v>1470</v>
      </c>
      <c r="G53" s="5">
        <v>3720</v>
      </c>
      <c r="H53" s="5">
        <v>3954</v>
      </c>
      <c r="I53" s="5">
        <v>3376</v>
      </c>
      <c r="J53" s="5">
        <v>265</v>
      </c>
      <c r="K53" s="5"/>
      <c r="L53" s="5">
        <f>SUM(D53:K53)</f>
        <v>13864</v>
      </c>
      <c r="M53" s="3"/>
      <c r="N53" s="1"/>
    </row>
    <row r="54" spans="1:14" ht="12.75">
      <c r="A54" s="3"/>
      <c r="B54" s="6">
        <v>134</v>
      </c>
      <c r="C54" s="2" t="s">
        <v>50</v>
      </c>
      <c r="D54" s="5">
        <v>9044</v>
      </c>
      <c r="E54" s="5">
        <v>315</v>
      </c>
      <c r="F54" s="5">
        <v>2258</v>
      </c>
      <c r="G54" s="5">
        <v>7518</v>
      </c>
      <c r="H54" s="5">
        <v>6493</v>
      </c>
      <c r="I54" s="5">
        <v>5142</v>
      </c>
      <c r="J54" s="5">
        <v>663</v>
      </c>
      <c r="K54" s="5"/>
      <c r="L54" s="5">
        <f>SUM(D54:K54)</f>
        <v>31433</v>
      </c>
      <c r="M54" s="3"/>
      <c r="N54" s="1"/>
    </row>
    <row r="55" spans="1:14" ht="12.75">
      <c r="A55" s="3"/>
      <c r="B55" s="3"/>
      <c r="C55" s="3"/>
      <c r="D55" s="5"/>
      <c r="E55" s="5"/>
      <c r="F55" s="5"/>
      <c r="G55" s="5"/>
      <c r="H55" s="5"/>
      <c r="I55" s="5"/>
      <c r="J55" s="5"/>
      <c r="K55" s="5"/>
      <c r="L55" s="5"/>
      <c r="M55" s="3"/>
      <c r="N55" s="1"/>
    </row>
    <row r="56" spans="1:14" ht="12.75">
      <c r="A56" s="3"/>
      <c r="B56" s="3"/>
      <c r="C56" s="9" t="s">
        <v>51</v>
      </c>
      <c r="D56" s="5">
        <f aca="true" t="shared" si="8" ref="D56:J56">SUM(D58:D61)</f>
        <v>113408.27900000001</v>
      </c>
      <c r="E56" s="5">
        <f t="shared" si="8"/>
        <v>5024</v>
      </c>
      <c r="F56" s="5">
        <f t="shared" si="8"/>
        <v>716</v>
      </c>
      <c r="G56" s="5">
        <f t="shared" si="8"/>
        <v>613</v>
      </c>
      <c r="H56" s="5">
        <f t="shared" si="8"/>
        <v>699</v>
      </c>
      <c r="I56" s="5">
        <f t="shared" si="8"/>
        <v>3222</v>
      </c>
      <c r="J56" s="5">
        <f t="shared" si="8"/>
        <v>22.559</v>
      </c>
      <c r="K56" s="5"/>
      <c r="L56" s="5">
        <f>SUM(L58:L61)</f>
        <v>123704.838</v>
      </c>
      <c r="M56" s="3"/>
      <c r="N56" s="1"/>
    </row>
    <row r="57" spans="1:14" ht="12.75">
      <c r="A57" s="3"/>
      <c r="B57" s="3"/>
      <c r="C57" s="9"/>
      <c r="D57" s="5"/>
      <c r="E57" s="5"/>
      <c r="F57" s="5"/>
      <c r="G57" s="5"/>
      <c r="H57" s="5"/>
      <c r="I57" s="5"/>
      <c r="J57" s="5"/>
      <c r="K57" s="5"/>
      <c r="L57" s="5"/>
      <c r="M57" s="3"/>
      <c r="N57" s="1"/>
    </row>
    <row r="58" spans="1:14" ht="12.75">
      <c r="A58" s="3"/>
      <c r="B58" s="6">
        <v>55</v>
      </c>
      <c r="C58" s="2" t="s">
        <v>53</v>
      </c>
      <c r="D58" s="5">
        <f>41398961/1000</f>
        <v>41398.961</v>
      </c>
      <c r="E58" s="5">
        <v>2373</v>
      </c>
      <c r="F58" s="5">
        <v>158</v>
      </c>
      <c r="G58" s="5">
        <v>315</v>
      </c>
      <c r="H58" s="5">
        <v>16</v>
      </c>
      <c r="I58" s="5">
        <v>495</v>
      </c>
      <c r="J58" s="5"/>
      <c r="K58" s="5"/>
      <c r="L58" s="5">
        <f>SUM(D58:K58)</f>
        <v>44755.961</v>
      </c>
      <c r="M58" s="3"/>
      <c r="N58" s="1"/>
    </row>
    <row r="59" spans="1:14" ht="12.75">
      <c r="A59" s="3"/>
      <c r="B59" s="6">
        <v>63</v>
      </c>
      <c r="C59" s="2" t="s">
        <v>54</v>
      </c>
      <c r="D59" s="5">
        <f>26650633/1000</f>
        <v>26650.633</v>
      </c>
      <c r="E59" s="5">
        <v>1167</v>
      </c>
      <c r="F59" s="5">
        <v>170</v>
      </c>
      <c r="G59" s="5">
        <v>98</v>
      </c>
      <c r="H59" s="5">
        <v>374</v>
      </c>
      <c r="I59" s="5">
        <v>783</v>
      </c>
      <c r="J59" s="5">
        <v>3.559</v>
      </c>
      <c r="K59" s="5"/>
      <c r="L59" s="5">
        <f>SUM(D59:K59)</f>
        <v>29246.192000000003</v>
      </c>
      <c r="M59" s="3"/>
      <c r="N59" s="1"/>
    </row>
    <row r="60" spans="1:14" ht="12.75">
      <c r="A60" s="3"/>
      <c r="B60" s="6">
        <v>116</v>
      </c>
      <c r="C60" s="2" t="s">
        <v>54</v>
      </c>
      <c r="D60" s="5">
        <v>18417</v>
      </c>
      <c r="E60" s="5">
        <v>1068</v>
      </c>
      <c r="F60" s="5">
        <v>38</v>
      </c>
      <c r="G60" s="5">
        <v>100</v>
      </c>
      <c r="H60" s="5">
        <v>244</v>
      </c>
      <c r="I60" s="5">
        <v>1190</v>
      </c>
      <c r="J60" s="5">
        <v>19</v>
      </c>
      <c r="K60" s="5"/>
      <c r="L60" s="5">
        <f>SUM(D60:K60)</f>
        <v>21076</v>
      </c>
      <c r="M60" s="3"/>
      <c r="N60" s="1"/>
    </row>
    <row r="61" spans="1:14" ht="12.75">
      <c r="A61" s="3"/>
      <c r="B61" s="6">
        <v>117</v>
      </c>
      <c r="C61" s="2" t="s">
        <v>55</v>
      </c>
      <c r="D61" s="5">
        <f>26941685/1000</f>
        <v>26941.685</v>
      </c>
      <c r="E61" s="5">
        <v>416</v>
      </c>
      <c r="F61" s="5">
        <v>350</v>
      </c>
      <c r="G61" s="5">
        <v>100</v>
      </c>
      <c r="H61" s="5">
        <v>65</v>
      </c>
      <c r="I61" s="5">
        <v>754</v>
      </c>
      <c r="J61" s="5"/>
      <c r="K61" s="5"/>
      <c r="L61" s="5">
        <f>SUM(D61:K61)</f>
        <v>28626.685</v>
      </c>
      <c r="M61" s="3"/>
      <c r="N61" s="1"/>
    </row>
    <row r="62" spans="1:14" ht="12.75">
      <c r="A62" s="3"/>
      <c r="B62" s="3"/>
      <c r="C62" s="3"/>
      <c r="D62" s="5"/>
      <c r="E62" s="5"/>
      <c r="F62" s="5"/>
      <c r="G62" s="5"/>
      <c r="H62" s="5"/>
      <c r="I62" s="5"/>
      <c r="J62" s="5"/>
      <c r="K62" s="5"/>
      <c r="L62" s="5"/>
      <c r="M62" s="3"/>
      <c r="N62" s="1"/>
    </row>
    <row r="63" spans="1:14" ht="12.75">
      <c r="A63" s="3"/>
      <c r="B63" s="3"/>
      <c r="C63" s="9" t="s">
        <v>56</v>
      </c>
      <c r="D63" s="5">
        <f aca="true" t="shared" si="9" ref="D63:K63">SUM(D65:D82)</f>
        <v>323136.77</v>
      </c>
      <c r="E63" s="5">
        <f t="shared" si="9"/>
        <v>29934</v>
      </c>
      <c r="F63" s="5">
        <f t="shared" si="9"/>
        <v>8317</v>
      </c>
      <c r="G63" s="5">
        <f t="shared" si="9"/>
        <v>7248.954</v>
      </c>
      <c r="H63" s="5">
        <f t="shared" si="9"/>
        <v>18238</v>
      </c>
      <c r="I63" s="5">
        <f t="shared" si="9"/>
        <v>10120</v>
      </c>
      <c r="J63" s="5">
        <f t="shared" si="9"/>
        <v>792.509</v>
      </c>
      <c r="K63" s="5">
        <f t="shared" si="9"/>
        <v>0</v>
      </c>
      <c r="L63" s="5">
        <f>SUM(D63:K63)+1</f>
        <v>397788.23300000007</v>
      </c>
      <c r="M63" s="5"/>
      <c r="N63" s="1"/>
    </row>
    <row r="64" spans="1:14" ht="12.75">
      <c r="A64" s="3"/>
      <c r="B64" s="3"/>
      <c r="C64" s="3"/>
      <c r="D64" s="5"/>
      <c r="E64" s="5"/>
      <c r="F64" s="5"/>
      <c r="G64" s="5"/>
      <c r="H64" s="5"/>
      <c r="I64" s="5"/>
      <c r="J64" s="5"/>
      <c r="K64" s="5"/>
      <c r="L64" s="5"/>
      <c r="M64" s="3"/>
      <c r="N64" s="1"/>
    </row>
    <row r="65" spans="1:14" ht="12.75">
      <c r="A65" s="3"/>
      <c r="B65" s="7" t="s">
        <v>57</v>
      </c>
      <c r="C65" s="2" t="s">
        <v>58</v>
      </c>
      <c r="D65" s="5">
        <v>21454</v>
      </c>
      <c r="E65" s="5">
        <v>2016</v>
      </c>
      <c r="F65" s="5">
        <v>2530</v>
      </c>
      <c r="G65" s="5">
        <v>1325</v>
      </c>
      <c r="H65" s="5">
        <v>4944</v>
      </c>
      <c r="I65" s="5">
        <v>2189</v>
      </c>
      <c r="J65" s="5">
        <v>159</v>
      </c>
      <c r="K65" s="5"/>
      <c r="L65" s="5">
        <f aca="true" t="shared" si="10" ref="L65:L82">SUM(D65:K65)</f>
        <v>34617</v>
      </c>
      <c r="M65" s="5"/>
      <c r="N65" s="1"/>
    </row>
    <row r="66" spans="1:14" ht="12.75">
      <c r="A66" s="3"/>
      <c r="B66" s="7" t="s">
        <v>59</v>
      </c>
      <c r="C66" s="2" t="s">
        <v>60</v>
      </c>
      <c r="D66" s="5">
        <f>3962881/1000</f>
        <v>3962.881</v>
      </c>
      <c r="E66" s="5">
        <v>145</v>
      </c>
      <c r="F66" s="5">
        <v>79</v>
      </c>
      <c r="G66" s="5">
        <v>67</v>
      </c>
      <c r="H66" s="5">
        <v>21</v>
      </c>
      <c r="I66" s="5">
        <v>74</v>
      </c>
      <c r="J66" s="5">
        <v>9.896</v>
      </c>
      <c r="K66" s="5"/>
      <c r="L66" s="5">
        <f t="shared" si="10"/>
        <v>4358.776999999999</v>
      </c>
      <c r="M66" s="5"/>
      <c r="N66" s="1"/>
    </row>
    <row r="67" spans="1:14" ht="12.75">
      <c r="A67" s="3"/>
      <c r="B67" s="7" t="s">
        <v>61</v>
      </c>
      <c r="C67" s="2" t="s">
        <v>62</v>
      </c>
      <c r="D67" s="5">
        <f>5147421/1000</f>
        <v>5147.421</v>
      </c>
      <c r="E67" s="5">
        <v>477</v>
      </c>
      <c r="F67" s="5">
        <v>144</v>
      </c>
      <c r="G67" s="5">
        <v>658</v>
      </c>
      <c r="H67" s="5">
        <v>123</v>
      </c>
      <c r="I67" s="5">
        <v>95</v>
      </c>
      <c r="J67" s="5">
        <v>0</v>
      </c>
      <c r="K67" s="5"/>
      <c r="L67" s="5">
        <f t="shared" si="10"/>
        <v>6644.421</v>
      </c>
      <c r="M67" s="5"/>
      <c r="N67" s="1"/>
    </row>
    <row r="68" spans="1:14" ht="12.75">
      <c r="A68" s="3"/>
      <c r="B68" s="7" t="s">
        <v>63</v>
      </c>
      <c r="C68" s="2" t="s">
        <v>64</v>
      </c>
      <c r="D68" s="5">
        <f>42770506/1000</f>
        <v>42770.506</v>
      </c>
      <c r="E68" s="5">
        <v>2520</v>
      </c>
      <c r="F68" s="5">
        <v>889</v>
      </c>
      <c r="G68" s="5">
        <f>999954/1000</f>
        <v>999.954</v>
      </c>
      <c r="H68" s="5">
        <v>2166</v>
      </c>
      <c r="I68" s="5">
        <v>1597</v>
      </c>
      <c r="J68" s="5">
        <v>33</v>
      </c>
      <c r="K68" s="5"/>
      <c r="L68" s="5">
        <f t="shared" si="10"/>
        <v>50975.46</v>
      </c>
      <c r="M68" s="5"/>
      <c r="N68" s="1"/>
    </row>
    <row r="69" spans="1:14" ht="12.75">
      <c r="A69" s="3"/>
      <c r="B69" s="7" t="s">
        <v>65</v>
      </c>
      <c r="C69" s="2" t="s">
        <v>66</v>
      </c>
      <c r="D69" s="5">
        <f>30155937/1000</f>
        <v>30155.937</v>
      </c>
      <c r="E69" s="5">
        <v>5492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/>
      <c r="L69" s="5">
        <f t="shared" si="10"/>
        <v>35647.937000000005</v>
      </c>
      <c r="M69" s="5"/>
      <c r="N69" s="1"/>
    </row>
    <row r="70" spans="1:14" ht="12.75">
      <c r="A70" s="3"/>
      <c r="B70" s="7" t="s">
        <v>67</v>
      </c>
      <c r="C70" s="2" t="s">
        <v>68</v>
      </c>
      <c r="D70" s="5">
        <f>25654096/1000</f>
        <v>25654.096</v>
      </c>
      <c r="E70" s="5">
        <v>1799</v>
      </c>
      <c r="F70" s="5">
        <v>752</v>
      </c>
      <c r="G70" s="5">
        <v>36</v>
      </c>
      <c r="H70" s="5">
        <v>659</v>
      </c>
      <c r="I70" s="5">
        <v>553</v>
      </c>
      <c r="J70" s="5">
        <v>32</v>
      </c>
      <c r="K70" s="5"/>
      <c r="L70" s="5">
        <f t="shared" si="10"/>
        <v>29485.096</v>
      </c>
      <c r="M70" s="5"/>
      <c r="N70" s="1"/>
    </row>
    <row r="71" spans="1:14" ht="12.75">
      <c r="A71" s="3"/>
      <c r="B71" s="6">
        <v>42</v>
      </c>
      <c r="C71" s="2" t="s">
        <v>69</v>
      </c>
      <c r="D71" s="5">
        <f>16224694/1000</f>
        <v>16224.694</v>
      </c>
      <c r="E71" s="5">
        <v>2033</v>
      </c>
      <c r="F71" s="5">
        <v>242</v>
      </c>
      <c r="G71" s="5">
        <v>65</v>
      </c>
      <c r="H71" s="5">
        <v>993</v>
      </c>
      <c r="I71" s="5">
        <v>373</v>
      </c>
      <c r="J71" s="5">
        <v>92</v>
      </c>
      <c r="K71" s="5"/>
      <c r="L71" s="5">
        <f t="shared" si="10"/>
        <v>20022.694</v>
      </c>
      <c r="M71" s="5"/>
      <c r="N71" s="1"/>
    </row>
    <row r="72" spans="1:14" ht="12.75">
      <c r="A72" s="3"/>
      <c r="B72" s="7" t="s">
        <v>70</v>
      </c>
      <c r="C72" s="2" t="s">
        <v>71</v>
      </c>
      <c r="D72" s="5">
        <f>3977891/1000</f>
        <v>3977.891</v>
      </c>
      <c r="E72" s="5">
        <v>421</v>
      </c>
      <c r="F72" s="5">
        <v>277</v>
      </c>
      <c r="G72" s="5">
        <v>1545</v>
      </c>
      <c r="H72" s="5">
        <v>928</v>
      </c>
      <c r="I72" s="5">
        <v>428</v>
      </c>
      <c r="J72" s="5">
        <v>15</v>
      </c>
      <c r="K72" s="5"/>
      <c r="L72" s="5">
        <f t="shared" si="10"/>
        <v>7591.891</v>
      </c>
      <c r="M72" s="5"/>
      <c r="N72" s="1"/>
    </row>
    <row r="73" spans="1:14" ht="12.75">
      <c r="A73" s="3"/>
      <c r="B73" s="7" t="s">
        <v>72</v>
      </c>
      <c r="C73" s="2" t="s">
        <v>73</v>
      </c>
      <c r="D73" s="5">
        <f>17451957/1000</f>
        <v>17451.957</v>
      </c>
      <c r="E73" s="5">
        <v>4173</v>
      </c>
      <c r="F73" s="5">
        <v>207</v>
      </c>
      <c r="G73" s="5">
        <v>15</v>
      </c>
      <c r="H73" s="5">
        <v>443</v>
      </c>
      <c r="I73" s="5">
        <v>642</v>
      </c>
      <c r="J73" s="5">
        <v>15</v>
      </c>
      <c r="K73" s="5"/>
      <c r="L73" s="5">
        <f t="shared" si="10"/>
        <v>22946.957</v>
      </c>
      <c r="M73" s="5"/>
      <c r="N73" s="1"/>
    </row>
    <row r="74" spans="1:14" ht="12.75">
      <c r="A74" s="3"/>
      <c r="B74" s="7" t="s">
        <v>74</v>
      </c>
      <c r="C74" s="2" t="s">
        <v>75</v>
      </c>
      <c r="D74" s="5">
        <f>19957994/1000</f>
        <v>19957.994</v>
      </c>
      <c r="E74" s="5">
        <v>1689</v>
      </c>
      <c r="F74" s="5">
        <v>346</v>
      </c>
      <c r="G74" s="5">
        <v>572</v>
      </c>
      <c r="H74" s="5">
        <v>1320</v>
      </c>
      <c r="I74" s="5">
        <v>703</v>
      </c>
      <c r="J74" s="5">
        <v>37</v>
      </c>
      <c r="K74" s="5"/>
      <c r="L74" s="5">
        <f t="shared" si="10"/>
        <v>24624.994</v>
      </c>
      <c r="M74" s="3"/>
      <c r="N74" s="1"/>
    </row>
    <row r="75" spans="1:14" ht="12.75">
      <c r="A75" s="3"/>
      <c r="B75" s="6">
        <v>108</v>
      </c>
      <c r="C75" s="2" t="s">
        <v>76</v>
      </c>
      <c r="D75" s="5">
        <f>6171785/1000</f>
        <v>6171.785</v>
      </c>
      <c r="E75" s="5">
        <v>765</v>
      </c>
      <c r="F75" s="5">
        <v>170</v>
      </c>
      <c r="G75" s="5">
        <v>350</v>
      </c>
      <c r="H75" s="5">
        <v>798</v>
      </c>
      <c r="I75" s="5">
        <v>446</v>
      </c>
      <c r="J75" s="5">
        <v>21</v>
      </c>
      <c r="K75" s="5"/>
      <c r="L75" s="5">
        <f t="shared" si="10"/>
        <v>8721.785</v>
      </c>
      <c r="M75" s="3"/>
      <c r="N75" s="1"/>
    </row>
    <row r="76" spans="1:14" ht="12.75">
      <c r="A76" s="3"/>
      <c r="B76" s="6">
        <v>109</v>
      </c>
      <c r="C76" s="2" t="s">
        <v>77</v>
      </c>
      <c r="D76" s="5">
        <f>23145530/1000</f>
        <v>23145.53</v>
      </c>
      <c r="E76" s="5">
        <v>1905</v>
      </c>
      <c r="F76" s="5">
        <v>276</v>
      </c>
      <c r="G76" s="5">
        <v>187</v>
      </c>
      <c r="H76" s="5">
        <v>985</v>
      </c>
      <c r="I76" s="5">
        <v>251</v>
      </c>
      <c r="J76" s="5">
        <v>68</v>
      </c>
      <c r="K76" s="5"/>
      <c r="L76" s="5">
        <f t="shared" si="10"/>
        <v>26817.53</v>
      </c>
      <c r="M76" s="5"/>
      <c r="N76" s="1"/>
    </row>
    <row r="77" spans="1:14" ht="12.75">
      <c r="A77" s="3"/>
      <c r="B77" s="6">
        <v>110</v>
      </c>
      <c r="C77" s="2" t="s">
        <v>78</v>
      </c>
      <c r="D77" s="5">
        <f>28904082/1000</f>
        <v>28904.082</v>
      </c>
      <c r="E77" s="5">
        <v>1397</v>
      </c>
      <c r="F77" s="5">
        <v>530</v>
      </c>
      <c r="G77" s="5">
        <v>197</v>
      </c>
      <c r="H77" s="5">
        <v>1352</v>
      </c>
      <c r="I77" s="5">
        <v>428</v>
      </c>
      <c r="J77" s="5">
        <v>66</v>
      </c>
      <c r="K77" s="5"/>
      <c r="L77" s="5">
        <f t="shared" si="10"/>
        <v>32874.081999999995</v>
      </c>
      <c r="M77" s="5"/>
      <c r="N77" s="1"/>
    </row>
    <row r="78" spans="1:14" ht="12.75">
      <c r="A78" s="3"/>
      <c r="B78" s="6">
        <v>111</v>
      </c>
      <c r="C78" s="2" t="s">
        <v>79</v>
      </c>
      <c r="D78" s="5">
        <f>19262136/1000</f>
        <v>19262.136</v>
      </c>
      <c r="E78" s="5">
        <v>1147</v>
      </c>
      <c r="F78" s="5">
        <v>66</v>
      </c>
      <c r="G78" s="5">
        <v>70</v>
      </c>
      <c r="H78" s="5">
        <v>988</v>
      </c>
      <c r="I78" s="5">
        <v>397</v>
      </c>
      <c r="J78" s="5">
        <v>43</v>
      </c>
      <c r="K78" s="5"/>
      <c r="L78" s="5">
        <f t="shared" si="10"/>
        <v>21973.136</v>
      </c>
      <c r="M78" s="3"/>
      <c r="N78" s="1"/>
    </row>
    <row r="79" spans="1:14" ht="12.75">
      <c r="A79" s="3"/>
      <c r="B79" s="6">
        <v>113</v>
      </c>
      <c r="C79" s="2" t="s">
        <v>80</v>
      </c>
      <c r="D79" s="5">
        <f>26340197/1000</f>
        <v>26340.197</v>
      </c>
      <c r="E79" s="5">
        <v>1090</v>
      </c>
      <c r="F79" s="5">
        <v>115</v>
      </c>
      <c r="G79" s="5">
        <v>27</v>
      </c>
      <c r="H79" s="5">
        <v>677</v>
      </c>
      <c r="I79" s="5">
        <v>265</v>
      </c>
      <c r="J79" s="5">
        <v>43</v>
      </c>
      <c r="K79" s="5"/>
      <c r="L79" s="5">
        <f t="shared" si="10"/>
        <v>28557.197</v>
      </c>
      <c r="M79" s="5"/>
      <c r="N79" s="1"/>
    </row>
    <row r="80" spans="1:14" ht="12.75">
      <c r="A80" s="3"/>
      <c r="B80" s="6">
        <v>114</v>
      </c>
      <c r="C80" s="2" t="s">
        <v>81</v>
      </c>
      <c r="D80" s="5">
        <f>17584856/1000</f>
        <v>17584.856</v>
      </c>
      <c r="E80" s="5">
        <v>1344</v>
      </c>
      <c r="F80" s="5">
        <v>612</v>
      </c>
      <c r="G80" s="5">
        <v>265</v>
      </c>
      <c r="H80" s="5">
        <v>818</v>
      </c>
      <c r="I80" s="5">
        <v>570</v>
      </c>
      <c r="J80" s="5">
        <v>13</v>
      </c>
      <c r="K80" s="5"/>
      <c r="L80" s="5">
        <f t="shared" si="10"/>
        <v>21206.856</v>
      </c>
      <c r="M80" s="3"/>
      <c r="N80" s="1"/>
    </row>
    <row r="81" spans="1:14" ht="12.75">
      <c r="A81" s="3"/>
      <c r="B81" s="6">
        <v>132</v>
      </c>
      <c r="C81" s="2" t="s">
        <v>82</v>
      </c>
      <c r="D81" s="5">
        <f>8359759/1000</f>
        <v>8359.759</v>
      </c>
      <c r="E81" s="5">
        <v>868</v>
      </c>
      <c r="F81" s="5">
        <v>972</v>
      </c>
      <c r="G81" s="5">
        <v>96</v>
      </c>
      <c r="H81" s="5">
        <v>809</v>
      </c>
      <c r="I81" s="5">
        <v>645</v>
      </c>
      <c r="J81" s="5">
        <v>46</v>
      </c>
      <c r="K81" s="5"/>
      <c r="L81" s="5">
        <f t="shared" si="10"/>
        <v>11795.759</v>
      </c>
      <c r="M81" s="3"/>
      <c r="N81" s="1"/>
    </row>
    <row r="82" spans="1:14" ht="12.75">
      <c r="A82" s="3"/>
      <c r="B82" s="6">
        <v>137</v>
      </c>
      <c r="C82" s="2" t="s">
        <v>83</v>
      </c>
      <c r="D82" s="5">
        <f>6611048/1000</f>
        <v>6611.048</v>
      </c>
      <c r="E82" s="5">
        <v>653</v>
      </c>
      <c r="F82" s="5">
        <v>110</v>
      </c>
      <c r="G82" s="5">
        <v>774</v>
      </c>
      <c r="H82" s="5">
        <v>214</v>
      </c>
      <c r="I82" s="5">
        <v>464</v>
      </c>
      <c r="J82" s="5">
        <f>99613/1000</f>
        <v>99.613</v>
      </c>
      <c r="K82" s="5"/>
      <c r="L82" s="5">
        <f t="shared" si="10"/>
        <v>8925.660999999998</v>
      </c>
      <c r="M82" s="5"/>
      <c r="N82" s="1"/>
    </row>
    <row r="83" spans="1:14" ht="12.75">
      <c r="A83" s="3"/>
      <c r="B83" s="3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</row>
    <row r="84" spans="1:14" ht="12.75">
      <c r="A84" s="3"/>
      <c r="B84" s="3"/>
      <c r="C84" s="9" t="s">
        <v>84</v>
      </c>
      <c r="D84" s="5">
        <f aca="true" t="shared" si="11" ref="D84:J84">SUM(D86:D89)</f>
        <v>67535.121</v>
      </c>
      <c r="E84" s="5">
        <f t="shared" si="11"/>
        <v>7411</v>
      </c>
      <c r="F84" s="5">
        <f t="shared" si="11"/>
        <v>928</v>
      </c>
      <c r="G84" s="5">
        <f t="shared" si="11"/>
        <v>1208</v>
      </c>
      <c r="H84" s="5">
        <f t="shared" si="11"/>
        <v>5534</v>
      </c>
      <c r="I84" s="5">
        <f t="shared" si="11"/>
        <v>2802</v>
      </c>
      <c r="J84" s="5">
        <f t="shared" si="11"/>
        <v>246</v>
      </c>
      <c r="K84" s="5"/>
      <c r="L84" s="5">
        <f>SUM(L86:L89)</f>
        <v>85664.121</v>
      </c>
      <c r="M84" s="5"/>
      <c r="N84" s="1"/>
    </row>
    <row r="85" spans="1:14" ht="12.75">
      <c r="A85" s="3"/>
      <c r="B85" s="3"/>
      <c r="C85" s="3"/>
      <c r="D85" s="5"/>
      <c r="E85" s="5"/>
      <c r="F85" s="5"/>
      <c r="G85" s="5"/>
      <c r="H85" s="5"/>
      <c r="I85" s="5"/>
      <c r="J85" s="5"/>
      <c r="K85" s="5"/>
      <c r="L85" s="5"/>
      <c r="M85" s="3"/>
      <c r="N85" s="1"/>
    </row>
    <row r="86" spans="1:14" ht="12.75">
      <c r="A86" s="3"/>
      <c r="B86" s="6">
        <v>17</v>
      </c>
      <c r="C86" s="2" t="s">
        <v>85</v>
      </c>
      <c r="D86" s="5">
        <f>18464049/1000</f>
        <v>18464.049</v>
      </c>
      <c r="E86" s="5">
        <v>789</v>
      </c>
      <c r="F86" s="5">
        <v>156</v>
      </c>
      <c r="G86" s="5">
        <v>130</v>
      </c>
      <c r="H86" s="5">
        <v>1486</v>
      </c>
      <c r="I86" s="5">
        <v>670</v>
      </c>
      <c r="J86" s="5">
        <v>82</v>
      </c>
      <c r="K86" s="5"/>
      <c r="L86" s="5">
        <f>SUM(D86:K86)</f>
        <v>21777.049</v>
      </c>
      <c r="M86" s="3"/>
      <c r="N86" s="1"/>
    </row>
    <row r="87" spans="1:14" ht="12.75">
      <c r="A87" s="3"/>
      <c r="B87" s="6">
        <v>68</v>
      </c>
      <c r="C87" s="2" t="s">
        <v>86</v>
      </c>
      <c r="D87" s="5">
        <f>18308152/1000</f>
        <v>18308.152</v>
      </c>
      <c r="E87" s="5">
        <v>4904</v>
      </c>
      <c r="F87" s="5">
        <v>557</v>
      </c>
      <c r="G87" s="5">
        <v>820</v>
      </c>
      <c r="H87" s="5">
        <v>1679</v>
      </c>
      <c r="I87" s="5">
        <v>1177</v>
      </c>
      <c r="J87" s="5">
        <v>46</v>
      </c>
      <c r="K87" s="5"/>
      <c r="L87" s="5">
        <f>SUM(D87:K87)</f>
        <v>27491.152</v>
      </c>
      <c r="M87" s="3"/>
      <c r="N87" s="1"/>
    </row>
    <row r="88" spans="1:14" ht="12.75">
      <c r="A88" s="3"/>
      <c r="B88" s="6">
        <v>85</v>
      </c>
      <c r="C88" s="2" t="s">
        <v>85</v>
      </c>
      <c r="D88" s="5">
        <f>15628457/1000</f>
        <v>15628.457</v>
      </c>
      <c r="E88" s="5">
        <v>904</v>
      </c>
      <c r="F88" s="5">
        <v>103</v>
      </c>
      <c r="G88" s="5">
        <v>95</v>
      </c>
      <c r="H88" s="5">
        <v>985</v>
      </c>
      <c r="I88" s="5">
        <v>423</v>
      </c>
      <c r="J88" s="5">
        <v>101</v>
      </c>
      <c r="K88" s="5"/>
      <c r="L88" s="5">
        <f>SUM(D88:K88)</f>
        <v>18239.457000000002</v>
      </c>
      <c r="M88" s="3"/>
      <c r="N88" s="1"/>
    </row>
    <row r="89" spans="1:14" ht="12.75">
      <c r="A89" s="3"/>
      <c r="B89" s="6">
        <v>119</v>
      </c>
      <c r="C89" s="2" t="s">
        <v>85</v>
      </c>
      <c r="D89" s="5">
        <f>15134463/1000</f>
        <v>15134.463</v>
      </c>
      <c r="E89" s="5">
        <v>814</v>
      </c>
      <c r="F89" s="5">
        <v>112</v>
      </c>
      <c r="G89" s="5">
        <v>163</v>
      </c>
      <c r="H89" s="5">
        <v>1384</v>
      </c>
      <c r="I89" s="5">
        <v>532</v>
      </c>
      <c r="J89" s="5">
        <v>17</v>
      </c>
      <c r="K89" s="5"/>
      <c r="L89" s="5">
        <f>SUM(D89:K89)</f>
        <v>18156.463</v>
      </c>
      <c r="M89" s="3"/>
      <c r="N89" s="1"/>
    </row>
    <row r="90" spans="1:14" ht="12.75">
      <c r="A90" s="3"/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3"/>
      <c r="N90" s="1"/>
    </row>
    <row r="91" spans="1:14" ht="12.75">
      <c r="A91" s="3"/>
      <c r="B91" s="3"/>
      <c r="C91" s="9" t="s">
        <v>87</v>
      </c>
      <c r="D91" s="5">
        <f aca="true" t="shared" si="12" ref="D91:J91">SUM(D93:D95)</f>
        <v>27231.362</v>
      </c>
      <c r="E91" s="5">
        <f t="shared" si="12"/>
        <v>2282</v>
      </c>
      <c r="F91" s="5">
        <f t="shared" si="12"/>
        <v>2038</v>
      </c>
      <c r="G91" s="5">
        <f t="shared" si="12"/>
        <v>3567</v>
      </c>
      <c r="H91" s="5">
        <f t="shared" si="12"/>
        <v>7027</v>
      </c>
      <c r="I91" s="5">
        <f t="shared" si="12"/>
        <v>5415</v>
      </c>
      <c r="J91" s="5">
        <f t="shared" si="12"/>
        <v>228</v>
      </c>
      <c r="K91" s="5"/>
      <c r="L91" s="5">
        <f>SUM(L93:L95)</f>
        <v>47788.361999999994</v>
      </c>
      <c r="M91" s="5"/>
      <c r="N91" s="1"/>
    </row>
    <row r="92" spans="1:14" ht="12.75">
      <c r="A92" s="3"/>
      <c r="B92" s="3"/>
      <c r="C92" s="3"/>
      <c r="D92" s="5"/>
      <c r="E92" s="5"/>
      <c r="F92" s="5"/>
      <c r="G92" s="5"/>
      <c r="H92" s="5"/>
      <c r="I92" s="5"/>
      <c r="J92" s="5"/>
      <c r="K92" s="5"/>
      <c r="L92" s="5"/>
      <c r="M92" s="3"/>
      <c r="N92" s="1"/>
    </row>
    <row r="93" spans="1:14" ht="12.75">
      <c r="A93" s="3"/>
      <c r="B93" s="6">
        <v>35</v>
      </c>
      <c r="C93" s="2" t="s">
        <v>88</v>
      </c>
      <c r="D93" s="5">
        <f>7237851/1000</f>
        <v>7237.851</v>
      </c>
      <c r="E93" s="5">
        <v>447</v>
      </c>
      <c r="F93" s="5">
        <v>1128</v>
      </c>
      <c r="G93" s="5">
        <v>1430</v>
      </c>
      <c r="H93" s="5">
        <v>3552</v>
      </c>
      <c r="I93" s="5">
        <v>2067</v>
      </c>
      <c r="J93" s="5">
        <v>145</v>
      </c>
      <c r="K93" s="5"/>
      <c r="L93" s="5">
        <f>SUM(D93:K93)</f>
        <v>16006.850999999999</v>
      </c>
      <c r="M93" s="3"/>
      <c r="N93" s="1"/>
    </row>
    <row r="94" spans="1:14" ht="12.75">
      <c r="A94" s="3"/>
      <c r="B94" s="6">
        <v>41</v>
      </c>
      <c r="C94" s="2" t="s">
        <v>89</v>
      </c>
      <c r="D94" s="5">
        <f>7148942/1000</f>
        <v>7148.942</v>
      </c>
      <c r="E94" s="5">
        <v>751</v>
      </c>
      <c r="F94" s="5">
        <v>621</v>
      </c>
      <c r="G94" s="5">
        <v>1708</v>
      </c>
      <c r="H94" s="5">
        <v>2817</v>
      </c>
      <c r="I94" s="5">
        <v>1987</v>
      </c>
      <c r="J94" s="5">
        <v>83</v>
      </c>
      <c r="K94" s="5"/>
      <c r="L94" s="5">
        <f>SUM(D94:K94)</f>
        <v>15115.942</v>
      </c>
      <c r="M94" s="5"/>
      <c r="N94" s="1"/>
    </row>
    <row r="95" spans="1:14" ht="12.75">
      <c r="A95" s="3"/>
      <c r="B95" s="6">
        <v>120</v>
      </c>
      <c r="C95" s="2" t="s">
        <v>88</v>
      </c>
      <c r="D95" s="5">
        <f>12844569/1000</f>
        <v>12844.569</v>
      </c>
      <c r="E95" s="5">
        <v>1084</v>
      </c>
      <c r="F95" s="5">
        <v>289</v>
      </c>
      <c r="G95" s="5">
        <v>429</v>
      </c>
      <c r="H95" s="5">
        <v>658</v>
      </c>
      <c r="I95" s="5">
        <v>1361</v>
      </c>
      <c r="J95" s="5">
        <v>0</v>
      </c>
      <c r="K95" s="5"/>
      <c r="L95" s="5">
        <f>SUM(D95:K95)</f>
        <v>16665.569</v>
      </c>
      <c r="M95" s="3"/>
      <c r="N95" s="1"/>
    </row>
    <row r="96" spans="1:14" ht="12.75">
      <c r="A96" s="3"/>
      <c r="B96" s="3"/>
      <c r="C96" s="3"/>
      <c r="D96" s="5"/>
      <c r="E96" s="5"/>
      <c r="F96" s="5"/>
      <c r="G96" s="5"/>
      <c r="H96" s="5"/>
      <c r="I96" s="5"/>
      <c r="J96" s="5"/>
      <c r="K96" s="5"/>
      <c r="L96" s="5"/>
      <c r="M96" s="3"/>
      <c r="N96" s="1"/>
    </row>
    <row r="97" spans="1:14" ht="12.75">
      <c r="A97" s="3"/>
      <c r="B97" s="3"/>
      <c r="C97" s="9" t="s">
        <v>90</v>
      </c>
      <c r="D97" s="5">
        <f aca="true" t="shared" si="13" ref="D97:L97">SUM(D99:D113)</f>
        <v>86184.463</v>
      </c>
      <c r="E97" s="5">
        <f t="shared" si="13"/>
        <v>8249</v>
      </c>
      <c r="F97" s="5">
        <f t="shared" si="13"/>
        <v>16279</v>
      </c>
      <c r="G97" s="5">
        <f t="shared" si="13"/>
        <v>13142</v>
      </c>
      <c r="H97" s="5">
        <f t="shared" si="13"/>
        <v>32153</v>
      </c>
      <c r="I97" s="5">
        <f t="shared" si="13"/>
        <v>17671</v>
      </c>
      <c r="J97" s="5">
        <f t="shared" si="13"/>
        <v>2523</v>
      </c>
      <c r="K97" s="5">
        <f t="shared" si="13"/>
        <v>0</v>
      </c>
      <c r="L97" s="5">
        <f t="shared" si="13"/>
        <v>176201.463</v>
      </c>
      <c r="M97" s="5"/>
      <c r="N97" s="1"/>
    </row>
    <row r="98" spans="1:14" ht="12.75">
      <c r="A98" s="3"/>
      <c r="B98" s="3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1"/>
    </row>
    <row r="99" spans="1:14" ht="12.75">
      <c r="A99" s="3"/>
      <c r="B99" s="6">
        <v>33</v>
      </c>
      <c r="C99" s="2" t="s">
        <v>91</v>
      </c>
      <c r="D99" s="5">
        <f>6974509/1000</f>
        <v>6974.509</v>
      </c>
      <c r="E99" s="5">
        <v>471</v>
      </c>
      <c r="F99" s="5">
        <v>353</v>
      </c>
      <c r="G99" s="5">
        <v>217</v>
      </c>
      <c r="H99" s="5">
        <v>627</v>
      </c>
      <c r="I99" s="5">
        <v>682</v>
      </c>
      <c r="J99" s="5">
        <v>135</v>
      </c>
      <c r="K99" s="5"/>
      <c r="L99" s="5">
        <f>SUM(D99:K99)</f>
        <v>9459.509</v>
      </c>
      <c r="M99" s="3"/>
      <c r="N99" s="1"/>
    </row>
    <row r="100" spans="1:14" ht="12.75">
      <c r="A100" s="3"/>
      <c r="B100" s="6">
        <v>34</v>
      </c>
      <c r="C100" s="2" t="s">
        <v>92</v>
      </c>
      <c r="D100" s="5">
        <f>11183939/1000</f>
        <v>11183.939</v>
      </c>
      <c r="E100" s="5">
        <v>1944</v>
      </c>
      <c r="F100" s="5">
        <v>374</v>
      </c>
      <c r="G100" s="5">
        <v>170</v>
      </c>
      <c r="H100" s="5">
        <v>886</v>
      </c>
      <c r="I100" s="5">
        <v>1611</v>
      </c>
      <c r="J100" s="5">
        <v>115</v>
      </c>
      <c r="K100" s="5"/>
      <c r="L100" s="5">
        <f>SUM(D100:K100)</f>
        <v>16283.939</v>
      </c>
      <c r="M100" s="3"/>
      <c r="N100" s="1"/>
    </row>
    <row r="101" spans="1:14" ht="12.75">
      <c r="A101" s="3"/>
      <c r="B101" s="6">
        <v>45</v>
      </c>
      <c r="C101" s="2" t="s">
        <v>93</v>
      </c>
      <c r="D101" s="5">
        <f>3254955/1000</f>
        <v>3254.955</v>
      </c>
      <c r="E101" s="5">
        <v>449</v>
      </c>
      <c r="F101" s="5">
        <v>1081</v>
      </c>
      <c r="G101" s="5">
        <v>1605</v>
      </c>
      <c r="H101" s="5">
        <v>2586</v>
      </c>
      <c r="I101" s="5">
        <v>659</v>
      </c>
      <c r="J101" s="5">
        <v>79</v>
      </c>
      <c r="K101" s="5"/>
      <c r="L101" s="5">
        <f>SUM(D101:K101)</f>
        <v>9713.955</v>
      </c>
      <c r="M101" s="3"/>
      <c r="N101" s="1"/>
    </row>
    <row r="102" spans="1:14" ht="12.75">
      <c r="A102" s="3"/>
      <c r="B102" s="6">
        <v>47</v>
      </c>
      <c r="C102" s="2" t="s">
        <v>94</v>
      </c>
      <c r="D102" s="5">
        <f>5203060/1000</f>
        <v>5203.06</v>
      </c>
      <c r="E102" s="5">
        <v>698</v>
      </c>
      <c r="F102" s="5">
        <v>412</v>
      </c>
      <c r="G102" s="5">
        <v>151</v>
      </c>
      <c r="H102" s="5">
        <v>609</v>
      </c>
      <c r="I102" s="5">
        <v>249</v>
      </c>
      <c r="J102" s="5">
        <v>112</v>
      </c>
      <c r="K102" s="5"/>
      <c r="L102" s="5">
        <f aca="true" t="shared" si="14" ref="L102:L113">SUM(D102:K102)</f>
        <v>7434.06</v>
      </c>
      <c r="M102" s="3"/>
      <c r="N102" s="1"/>
    </row>
    <row r="103" spans="1:14" ht="12.75">
      <c r="A103" s="3"/>
      <c r="B103" s="6">
        <v>48</v>
      </c>
      <c r="C103" s="2" t="s">
        <v>92</v>
      </c>
      <c r="D103" s="5">
        <v>3755</v>
      </c>
      <c r="E103" s="5">
        <v>310</v>
      </c>
      <c r="F103" s="5">
        <v>247</v>
      </c>
      <c r="G103" s="5">
        <v>212</v>
      </c>
      <c r="H103" s="5">
        <v>1265</v>
      </c>
      <c r="I103" s="5">
        <v>898</v>
      </c>
      <c r="J103" s="5">
        <v>65</v>
      </c>
      <c r="K103" s="5"/>
      <c r="L103" s="5">
        <f t="shared" si="14"/>
        <v>6752</v>
      </c>
      <c r="M103" s="3"/>
      <c r="N103" s="1"/>
    </row>
    <row r="104" spans="1:14" ht="12.75">
      <c r="A104" s="3"/>
      <c r="B104" s="6">
        <v>51</v>
      </c>
      <c r="C104" s="2" t="s">
        <v>95</v>
      </c>
      <c r="D104" s="5">
        <v>4289</v>
      </c>
      <c r="E104" s="5">
        <v>482</v>
      </c>
      <c r="F104" s="5">
        <v>1565</v>
      </c>
      <c r="G104" s="5">
        <v>1195</v>
      </c>
      <c r="H104" s="5">
        <v>2546</v>
      </c>
      <c r="I104" s="5">
        <v>1669</v>
      </c>
      <c r="J104" s="5">
        <v>114</v>
      </c>
      <c r="K104" s="5"/>
      <c r="L104" s="5">
        <f t="shared" si="14"/>
        <v>11860</v>
      </c>
      <c r="M104" s="3"/>
      <c r="N104" s="1"/>
    </row>
    <row r="105" spans="1:14" ht="12.75">
      <c r="A105" s="3"/>
      <c r="B105" s="6">
        <v>52</v>
      </c>
      <c r="C105" s="2" t="s">
        <v>96</v>
      </c>
      <c r="D105" s="5">
        <v>9005</v>
      </c>
      <c r="E105" s="5">
        <v>778</v>
      </c>
      <c r="F105" s="5">
        <v>1601</v>
      </c>
      <c r="G105" s="5">
        <v>835</v>
      </c>
      <c r="H105" s="5">
        <v>2776</v>
      </c>
      <c r="I105" s="5">
        <v>1457</v>
      </c>
      <c r="J105" s="5">
        <v>416</v>
      </c>
      <c r="K105" s="5"/>
      <c r="L105" s="5">
        <f t="shared" si="14"/>
        <v>16868</v>
      </c>
      <c r="M105" s="3"/>
      <c r="N105" s="1"/>
    </row>
    <row r="106" spans="1:14" ht="12.75">
      <c r="A106" s="3"/>
      <c r="B106" s="6">
        <v>56</v>
      </c>
      <c r="C106" s="2" t="s">
        <v>97</v>
      </c>
      <c r="D106" s="5">
        <v>5398</v>
      </c>
      <c r="E106" s="5">
        <v>411</v>
      </c>
      <c r="F106" s="5">
        <v>872</v>
      </c>
      <c r="G106" s="5">
        <v>181</v>
      </c>
      <c r="H106" s="5">
        <v>1450</v>
      </c>
      <c r="I106" s="5">
        <v>869</v>
      </c>
      <c r="J106" s="5">
        <v>300</v>
      </c>
      <c r="K106" s="5"/>
      <c r="L106" s="5">
        <f t="shared" si="14"/>
        <v>9481</v>
      </c>
      <c r="M106" s="3"/>
      <c r="N106" s="1"/>
    </row>
    <row r="107" spans="1:14" ht="12.75">
      <c r="A107" s="3"/>
      <c r="B107" s="6">
        <v>57</v>
      </c>
      <c r="C107" s="2" t="s">
        <v>98</v>
      </c>
      <c r="D107" s="5">
        <v>7057</v>
      </c>
      <c r="E107" s="5">
        <v>260</v>
      </c>
      <c r="F107" s="5">
        <v>262</v>
      </c>
      <c r="G107" s="5">
        <v>53</v>
      </c>
      <c r="H107" s="5">
        <v>710</v>
      </c>
      <c r="I107" s="5">
        <v>519</v>
      </c>
      <c r="J107" s="5">
        <v>71</v>
      </c>
      <c r="K107" s="5"/>
      <c r="L107" s="5">
        <f t="shared" si="14"/>
        <v>8932</v>
      </c>
      <c r="M107" s="3"/>
      <c r="N107" s="1"/>
    </row>
    <row r="108" spans="1:14" ht="12.75">
      <c r="A108" s="3"/>
      <c r="B108" s="6">
        <v>59</v>
      </c>
      <c r="C108" s="2" t="s">
        <v>99</v>
      </c>
      <c r="D108" s="5">
        <v>3000</v>
      </c>
      <c r="E108" s="5">
        <v>215</v>
      </c>
      <c r="F108" s="5">
        <v>547</v>
      </c>
      <c r="G108" s="5">
        <v>1313</v>
      </c>
      <c r="H108" s="5">
        <v>1909</v>
      </c>
      <c r="I108" s="5">
        <v>1065</v>
      </c>
      <c r="J108" s="5">
        <v>203</v>
      </c>
      <c r="K108" s="5"/>
      <c r="L108" s="5">
        <f t="shared" si="14"/>
        <v>8252</v>
      </c>
      <c r="M108" s="3"/>
      <c r="N108" s="1"/>
    </row>
    <row r="109" spans="1:14" ht="12.75">
      <c r="A109" s="3"/>
      <c r="B109" s="6">
        <v>62</v>
      </c>
      <c r="C109" s="2" t="s">
        <v>100</v>
      </c>
      <c r="D109" s="5">
        <v>2310</v>
      </c>
      <c r="E109" s="5">
        <v>278</v>
      </c>
      <c r="F109" s="5">
        <v>2421</v>
      </c>
      <c r="G109" s="5">
        <v>2193</v>
      </c>
      <c r="H109" s="5">
        <v>4851</v>
      </c>
      <c r="I109" s="5">
        <v>1604</v>
      </c>
      <c r="J109" s="5">
        <v>298</v>
      </c>
      <c r="K109" s="5"/>
      <c r="L109" s="5">
        <f t="shared" si="14"/>
        <v>13955</v>
      </c>
      <c r="M109" s="3"/>
      <c r="N109" s="1"/>
    </row>
    <row r="110" spans="1:14" ht="12.75">
      <c r="A110" s="3"/>
      <c r="B110" s="6">
        <v>74</v>
      </c>
      <c r="C110" s="2" t="s">
        <v>101</v>
      </c>
      <c r="D110" s="5">
        <v>2762</v>
      </c>
      <c r="E110" s="5">
        <v>364</v>
      </c>
      <c r="F110" s="5">
        <v>1527</v>
      </c>
      <c r="G110" s="5">
        <v>1383</v>
      </c>
      <c r="H110" s="5">
        <v>4280</v>
      </c>
      <c r="I110" s="5">
        <v>1279</v>
      </c>
      <c r="J110" s="5">
        <v>231</v>
      </c>
      <c r="K110" s="5"/>
      <c r="L110" s="5">
        <f t="shared" si="14"/>
        <v>11826</v>
      </c>
      <c r="M110" s="3"/>
      <c r="N110" s="1"/>
    </row>
    <row r="111" spans="1:14" ht="12.75">
      <c r="A111" s="3"/>
      <c r="B111" s="6">
        <v>77</v>
      </c>
      <c r="C111" s="2" t="s">
        <v>102</v>
      </c>
      <c r="D111" s="5">
        <v>3094</v>
      </c>
      <c r="E111" s="5">
        <v>448</v>
      </c>
      <c r="F111" s="5">
        <v>3662</v>
      </c>
      <c r="G111" s="5">
        <v>3214</v>
      </c>
      <c r="H111" s="5">
        <v>6222</v>
      </c>
      <c r="I111" s="5">
        <v>3699</v>
      </c>
      <c r="J111" s="5">
        <v>228</v>
      </c>
      <c r="K111" s="5"/>
      <c r="L111" s="5">
        <f t="shared" si="14"/>
        <v>20567</v>
      </c>
      <c r="M111" s="3"/>
      <c r="N111" s="1"/>
    </row>
    <row r="112" spans="1:14" ht="12.75">
      <c r="A112" s="3"/>
      <c r="B112" s="6">
        <v>87</v>
      </c>
      <c r="C112" s="2" t="s">
        <v>103</v>
      </c>
      <c r="D112" s="5">
        <v>9360</v>
      </c>
      <c r="E112" s="5">
        <v>428</v>
      </c>
      <c r="F112" s="5">
        <v>1168</v>
      </c>
      <c r="G112" s="5">
        <v>173</v>
      </c>
      <c r="H112" s="5">
        <v>644</v>
      </c>
      <c r="I112" s="5">
        <v>553</v>
      </c>
      <c r="J112" s="5">
        <v>117</v>
      </c>
      <c r="K112" s="5"/>
      <c r="L112" s="5">
        <f t="shared" si="14"/>
        <v>12443</v>
      </c>
      <c r="M112" s="3"/>
      <c r="N112" s="1"/>
    </row>
    <row r="113" spans="1:14" ht="12.75">
      <c r="A113" s="3"/>
      <c r="B113" s="6">
        <v>121</v>
      </c>
      <c r="C113" s="2" t="s">
        <v>104</v>
      </c>
      <c r="D113" s="5">
        <v>9538</v>
      </c>
      <c r="E113" s="5">
        <v>713</v>
      </c>
      <c r="F113" s="5">
        <v>187</v>
      </c>
      <c r="G113" s="5">
        <v>247</v>
      </c>
      <c r="H113" s="5">
        <v>792</v>
      </c>
      <c r="I113" s="5">
        <v>858</v>
      </c>
      <c r="J113" s="5">
        <v>39</v>
      </c>
      <c r="K113" s="5"/>
      <c r="L113" s="5">
        <f t="shared" si="14"/>
        <v>12374</v>
      </c>
      <c r="M113" s="3"/>
      <c r="N113" s="1"/>
    </row>
    <row r="114" spans="1:14" ht="12.75">
      <c r="A114" s="3"/>
      <c r="B114" s="3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3"/>
      <c r="N114" s="1"/>
    </row>
    <row r="115" spans="1:14" ht="12.75">
      <c r="A115" s="3"/>
      <c r="B115" s="3"/>
      <c r="C115" s="9" t="s">
        <v>105</v>
      </c>
      <c r="D115" s="5">
        <f aca="true" t="shared" si="15" ref="D115:J115">SUM(D117:D119)</f>
        <v>55708.668999999994</v>
      </c>
      <c r="E115" s="5">
        <f t="shared" si="15"/>
        <v>3901</v>
      </c>
      <c r="F115" s="5">
        <f t="shared" si="15"/>
        <v>705</v>
      </c>
      <c r="G115" s="5">
        <f t="shared" si="15"/>
        <v>102</v>
      </c>
      <c r="H115" s="5">
        <f t="shared" si="15"/>
        <v>1269</v>
      </c>
      <c r="I115" s="5">
        <f t="shared" si="15"/>
        <v>2120</v>
      </c>
      <c r="J115" s="5">
        <f t="shared" si="15"/>
        <v>87</v>
      </c>
      <c r="K115" s="5"/>
      <c r="L115" s="5">
        <f>SUM(L117:L119)</f>
        <v>63892.668999999994</v>
      </c>
      <c r="M115" s="3"/>
      <c r="N115" s="1"/>
    </row>
    <row r="116" spans="1:14" ht="12.75">
      <c r="A116" s="3"/>
      <c r="B116" s="3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3"/>
      <c r="N116" s="1"/>
    </row>
    <row r="117" spans="1:14" ht="12.75">
      <c r="A117" s="3"/>
      <c r="B117" s="6">
        <v>13</v>
      </c>
      <c r="C117" s="2" t="s">
        <v>106</v>
      </c>
      <c r="D117" s="5">
        <f>39313805/1000</f>
        <v>39313.805</v>
      </c>
      <c r="E117" s="5">
        <v>3038</v>
      </c>
      <c r="F117" s="5">
        <v>518</v>
      </c>
      <c r="G117" s="5">
        <v>64</v>
      </c>
      <c r="H117" s="5">
        <v>625</v>
      </c>
      <c r="I117" s="5">
        <v>1358</v>
      </c>
      <c r="J117" s="5">
        <v>59</v>
      </c>
      <c r="K117" s="5"/>
      <c r="L117" s="5">
        <f>SUM(D117:K117)</f>
        <v>44975.805</v>
      </c>
      <c r="M117" s="3"/>
      <c r="N117" s="1"/>
    </row>
    <row r="118" spans="1:14" ht="12.75">
      <c r="A118" s="3"/>
      <c r="B118" s="6">
        <v>105</v>
      </c>
      <c r="C118" s="2" t="s">
        <v>106</v>
      </c>
      <c r="D118" s="5">
        <f>9925107/1000</f>
        <v>9925.107</v>
      </c>
      <c r="E118" s="5">
        <v>532</v>
      </c>
      <c r="F118" s="5">
        <v>67</v>
      </c>
      <c r="G118" s="5">
        <v>10</v>
      </c>
      <c r="H118" s="5">
        <v>288</v>
      </c>
      <c r="I118" s="5">
        <v>357</v>
      </c>
      <c r="J118" s="5">
        <v>15</v>
      </c>
      <c r="K118" s="5"/>
      <c r="L118" s="5">
        <f>SUM(D118:K118)</f>
        <v>11194.107</v>
      </c>
      <c r="M118" s="3"/>
      <c r="N118" s="1"/>
    </row>
    <row r="119" spans="1:14" ht="12.75">
      <c r="A119" s="3"/>
      <c r="B119" s="6">
        <v>122</v>
      </c>
      <c r="C119" s="2" t="s">
        <v>106</v>
      </c>
      <c r="D119" s="5">
        <f>6469757/1000</f>
        <v>6469.757</v>
      </c>
      <c r="E119" s="5">
        <v>331</v>
      </c>
      <c r="F119" s="5">
        <v>120</v>
      </c>
      <c r="G119" s="5">
        <v>28</v>
      </c>
      <c r="H119" s="5">
        <v>356</v>
      </c>
      <c r="I119" s="5">
        <v>405</v>
      </c>
      <c r="J119" s="5">
        <v>13</v>
      </c>
      <c r="K119" s="5"/>
      <c r="L119" s="5">
        <f>SUM(D119:K119)</f>
        <v>7722.757</v>
      </c>
      <c r="M119" s="3"/>
      <c r="N119" s="1"/>
    </row>
    <row r="120" spans="1:14" ht="12.75">
      <c r="A120" s="3"/>
      <c r="B120" s="3"/>
      <c r="C120" s="3"/>
      <c r="D120" s="5"/>
      <c r="E120" s="5"/>
      <c r="F120" s="5"/>
      <c r="G120" s="5"/>
      <c r="H120" s="5"/>
      <c r="I120" s="5"/>
      <c r="J120" s="5"/>
      <c r="K120" s="5"/>
      <c r="L120" s="5"/>
      <c r="M120" s="3"/>
      <c r="N120" s="1"/>
    </row>
    <row r="121" spans="1:14" ht="12.75">
      <c r="A121" s="3"/>
      <c r="B121" s="3"/>
      <c r="C121" s="9" t="s">
        <v>107</v>
      </c>
      <c r="D121" s="5">
        <f aca="true" t="shared" si="16" ref="D121:J121">SUM(D123:D128)</f>
        <v>92070</v>
      </c>
      <c r="E121" s="5">
        <f t="shared" si="16"/>
        <v>6108</v>
      </c>
      <c r="F121" s="5">
        <f t="shared" si="16"/>
        <v>5042</v>
      </c>
      <c r="G121" s="5">
        <f t="shared" si="16"/>
        <v>8349</v>
      </c>
      <c r="H121" s="5">
        <f t="shared" si="16"/>
        <v>18768</v>
      </c>
      <c r="I121" s="5">
        <f t="shared" si="16"/>
        <v>10452</v>
      </c>
      <c r="J121" s="5">
        <f t="shared" si="16"/>
        <v>1152</v>
      </c>
      <c r="K121" s="5"/>
      <c r="L121" s="5">
        <f>SUM(L123:L128)</f>
        <v>141941</v>
      </c>
      <c r="M121" s="5"/>
      <c r="N121" s="1"/>
    </row>
    <row r="122" spans="1:14" ht="12.75">
      <c r="A122" s="3"/>
      <c r="B122" s="3"/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3"/>
      <c r="N122" s="1"/>
    </row>
    <row r="123" spans="1:14" ht="12.75">
      <c r="A123" s="3"/>
      <c r="B123" s="6">
        <v>10</v>
      </c>
      <c r="C123" s="2" t="s">
        <v>108</v>
      </c>
      <c r="D123" s="5">
        <v>9614</v>
      </c>
      <c r="E123" s="5">
        <v>788</v>
      </c>
      <c r="F123" s="5">
        <v>627</v>
      </c>
      <c r="G123" s="5">
        <v>1140</v>
      </c>
      <c r="H123" s="5">
        <v>3069</v>
      </c>
      <c r="I123" s="5">
        <v>1326</v>
      </c>
      <c r="J123" s="5">
        <v>232</v>
      </c>
      <c r="K123" s="5"/>
      <c r="L123" s="5">
        <f aca="true" t="shared" si="17" ref="L123:L128">SUM(D123:K123)</f>
        <v>16796</v>
      </c>
      <c r="M123" s="3"/>
      <c r="N123" s="1"/>
    </row>
    <row r="124" spans="1:14" ht="12.75">
      <c r="A124" s="3"/>
      <c r="B124" s="6">
        <v>49</v>
      </c>
      <c r="C124" s="2" t="s">
        <v>108</v>
      </c>
      <c r="D124" s="5">
        <v>17732</v>
      </c>
      <c r="E124" s="5">
        <v>1310</v>
      </c>
      <c r="F124" s="5">
        <v>26</v>
      </c>
      <c r="G124" s="5"/>
      <c r="H124" s="5"/>
      <c r="I124" s="5"/>
      <c r="J124" s="5">
        <v>0</v>
      </c>
      <c r="K124" s="5"/>
      <c r="L124" s="5">
        <f t="shared" si="17"/>
        <v>19068</v>
      </c>
      <c r="M124" s="3"/>
      <c r="N124" s="1"/>
    </row>
    <row r="125" spans="1:14" ht="12.75">
      <c r="A125" s="3"/>
      <c r="B125" s="6">
        <v>50</v>
      </c>
      <c r="C125" s="2" t="s">
        <v>109</v>
      </c>
      <c r="D125" s="5">
        <v>28839</v>
      </c>
      <c r="E125" s="5">
        <v>1375</v>
      </c>
      <c r="F125" s="5">
        <v>2099</v>
      </c>
      <c r="G125" s="5">
        <v>3426</v>
      </c>
      <c r="H125" s="5">
        <v>7179</v>
      </c>
      <c r="I125" s="5">
        <v>4424</v>
      </c>
      <c r="J125" s="5">
        <v>375</v>
      </c>
      <c r="K125" s="5"/>
      <c r="L125" s="5">
        <f t="shared" si="17"/>
        <v>47717</v>
      </c>
      <c r="M125" s="3"/>
      <c r="N125" s="1"/>
    </row>
    <row r="126" spans="1:14" ht="12.75">
      <c r="A126" s="3"/>
      <c r="B126" s="6">
        <v>79</v>
      </c>
      <c r="C126" s="2" t="s">
        <v>110</v>
      </c>
      <c r="D126" s="5">
        <v>11220</v>
      </c>
      <c r="E126" s="5">
        <v>876</v>
      </c>
      <c r="F126" s="5">
        <v>1297</v>
      </c>
      <c r="G126" s="5">
        <v>2664</v>
      </c>
      <c r="H126" s="5">
        <v>4683</v>
      </c>
      <c r="I126" s="5">
        <v>3087</v>
      </c>
      <c r="J126" s="5">
        <v>303</v>
      </c>
      <c r="K126" s="5"/>
      <c r="L126" s="5">
        <f t="shared" si="17"/>
        <v>24130</v>
      </c>
      <c r="M126" s="3"/>
      <c r="N126" s="1"/>
    </row>
    <row r="127" spans="1:14" ht="12.75">
      <c r="A127" s="3"/>
      <c r="B127" s="6">
        <v>83</v>
      </c>
      <c r="C127" s="2" t="s">
        <v>111</v>
      </c>
      <c r="D127" s="5">
        <v>3244</v>
      </c>
      <c r="E127" s="5">
        <v>169</v>
      </c>
      <c r="F127" s="5">
        <v>274</v>
      </c>
      <c r="G127" s="5">
        <v>638</v>
      </c>
      <c r="H127" s="5">
        <v>1804</v>
      </c>
      <c r="I127" s="5">
        <v>901</v>
      </c>
      <c r="J127" s="5">
        <v>90</v>
      </c>
      <c r="K127" s="5"/>
      <c r="L127" s="5">
        <f t="shared" si="17"/>
        <v>7120</v>
      </c>
      <c r="M127" s="3"/>
      <c r="N127" s="1"/>
    </row>
    <row r="128" spans="1:14" ht="12.75">
      <c r="A128" s="3"/>
      <c r="B128" s="6">
        <v>123</v>
      </c>
      <c r="C128" s="2" t="s">
        <v>112</v>
      </c>
      <c r="D128" s="5">
        <v>21421</v>
      </c>
      <c r="E128" s="5">
        <v>1590</v>
      </c>
      <c r="F128" s="5">
        <v>719</v>
      </c>
      <c r="G128" s="5">
        <v>481</v>
      </c>
      <c r="H128" s="5">
        <v>2033</v>
      </c>
      <c r="I128" s="5">
        <v>714</v>
      </c>
      <c r="J128" s="5">
        <v>152</v>
      </c>
      <c r="K128" s="5"/>
      <c r="L128" s="5">
        <f t="shared" si="17"/>
        <v>27110</v>
      </c>
      <c r="M128" s="3"/>
      <c r="N128" s="1"/>
    </row>
    <row r="129" spans="1:14" ht="12.75">
      <c r="A129" s="3"/>
      <c r="B129" s="3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3"/>
      <c r="N129" s="1"/>
    </row>
    <row r="130" spans="1:14" ht="12.75">
      <c r="A130" s="3"/>
      <c r="B130" s="3"/>
      <c r="C130" s="9" t="s">
        <v>113</v>
      </c>
      <c r="D130" s="5">
        <f aca="true" t="shared" si="18" ref="D130:L130">SUM(D132)</f>
        <v>32684</v>
      </c>
      <c r="E130" s="5">
        <f t="shared" si="18"/>
        <v>781</v>
      </c>
      <c r="F130" s="5">
        <f t="shared" si="18"/>
        <v>1589</v>
      </c>
      <c r="G130" s="5">
        <f t="shared" si="18"/>
        <v>1596</v>
      </c>
      <c r="H130" s="5">
        <f t="shared" si="18"/>
        <v>1692</v>
      </c>
      <c r="I130" s="5">
        <f t="shared" si="18"/>
        <v>2125</v>
      </c>
      <c r="J130" s="5">
        <f t="shared" si="18"/>
        <v>155</v>
      </c>
      <c r="K130" s="5">
        <f t="shared" si="18"/>
        <v>0</v>
      </c>
      <c r="L130" s="5">
        <f t="shared" si="18"/>
        <v>40622</v>
      </c>
      <c r="M130" s="3"/>
      <c r="N130" s="1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5"/>
      <c r="L131" s="5"/>
      <c r="M131" s="3"/>
      <c r="N131" s="1"/>
    </row>
    <row r="132" spans="1:14" ht="12.75">
      <c r="A132" s="3"/>
      <c r="B132" s="6">
        <v>20</v>
      </c>
      <c r="C132" s="2" t="s">
        <v>114</v>
      </c>
      <c r="D132" s="5">
        <v>32684</v>
      </c>
      <c r="E132" s="5">
        <v>781</v>
      </c>
      <c r="F132" s="5">
        <v>1589</v>
      </c>
      <c r="G132" s="5">
        <v>1596</v>
      </c>
      <c r="H132" s="5">
        <v>1692</v>
      </c>
      <c r="I132" s="5">
        <v>2125</v>
      </c>
      <c r="J132" s="5">
        <v>155</v>
      </c>
      <c r="K132" s="5"/>
      <c r="L132" s="5">
        <f>SUM(D132:K132)</f>
        <v>40622</v>
      </c>
      <c r="M132" s="3"/>
      <c r="N132" s="1"/>
    </row>
    <row r="133" spans="1:14" ht="12.75">
      <c r="A133" s="3"/>
      <c r="B133" s="3"/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3"/>
      <c r="N133" s="1"/>
    </row>
    <row r="134" spans="1:14" ht="12.75">
      <c r="A134" s="3"/>
      <c r="B134" s="3"/>
      <c r="C134" s="9" t="s">
        <v>115</v>
      </c>
      <c r="D134" s="5">
        <f aca="true" t="shared" si="19" ref="D134:J134">SUM(D136:D138)</f>
        <v>28028</v>
      </c>
      <c r="E134" s="5">
        <f t="shared" si="19"/>
        <v>3730</v>
      </c>
      <c r="F134" s="5">
        <f t="shared" si="19"/>
        <v>1420</v>
      </c>
      <c r="G134" s="5">
        <f t="shared" si="19"/>
        <v>2350</v>
      </c>
      <c r="H134" s="5">
        <f t="shared" si="19"/>
        <v>4533</v>
      </c>
      <c r="I134" s="5">
        <f t="shared" si="19"/>
        <v>5870</v>
      </c>
      <c r="J134" s="5">
        <f t="shared" si="19"/>
        <v>205.53400000000002</v>
      </c>
      <c r="K134" s="5"/>
      <c r="L134" s="5">
        <f>SUM(L136:L138)</f>
        <v>46136.534</v>
      </c>
      <c r="M134" s="3"/>
      <c r="N134" s="1"/>
    </row>
    <row r="135" spans="1:14" ht="12.75">
      <c r="A135" s="3"/>
      <c r="B135" s="3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3"/>
      <c r="N135" s="1"/>
    </row>
    <row r="136" spans="1:14" ht="12.75">
      <c r="A136" s="3"/>
      <c r="B136" s="7" t="s">
        <v>116</v>
      </c>
      <c r="C136" s="2" t="s">
        <v>117</v>
      </c>
      <c r="D136" s="5">
        <v>7501</v>
      </c>
      <c r="E136" s="5">
        <v>929</v>
      </c>
      <c r="F136" s="5">
        <v>75</v>
      </c>
      <c r="G136" s="5">
        <v>6</v>
      </c>
      <c r="H136" s="5">
        <v>862</v>
      </c>
      <c r="I136" s="5">
        <v>2110</v>
      </c>
      <c r="J136" s="5">
        <v>0.039</v>
      </c>
      <c r="K136" s="5"/>
      <c r="L136" s="5">
        <f>SUM(D136:K136)</f>
        <v>11483.039</v>
      </c>
      <c r="M136" s="3"/>
      <c r="N136" s="1"/>
    </row>
    <row r="137" spans="1:14" ht="12.75">
      <c r="A137" s="3"/>
      <c r="B137" s="6">
        <v>66</v>
      </c>
      <c r="C137" s="2" t="s">
        <v>118</v>
      </c>
      <c r="D137" s="5">
        <v>1560</v>
      </c>
      <c r="E137" s="5">
        <v>1195</v>
      </c>
      <c r="F137" s="5">
        <v>348</v>
      </c>
      <c r="G137" s="5">
        <v>1082</v>
      </c>
      <c r="H137" s="5">
        <v>1555</v>
      </c>
      <c r="I137" s="5">
        <v>2642</v>
      </c>
      <c r="J137" s="5">
        <f>58719/1000</f>
        <v>58.719</v>
      </c>
      <c r="K137" s="5"/>
      <c r="L137" s="5">
        <f>SUM(D137:K137)</f>
        <v>8440.719</v>
      </c>
      <c r="M137" s="3"/>
      <c r="N137" s="1"/>
    </row>
    <row r="138" spans="1:14" ht="12.75">
      <c r="A138" s="3"/>
      <c r="B138" s="6">
        <v>124</v>
      </c>
      <c r="C138" s="2" t="s">
        <v>117</v>
      </c>
      <c r="D138" s="5">
        <v>18967</v>
      </c>
      <c r="E138" s="5">
        <v>1606</v>
      </c>
      <c r="F138" s="5">
        <v>997</v>
      </c>
      <c r="G138" s="5">
        <v>1262</v>
      </c>
      <c r="H138" s="5">
        <v>2116</v>
      </c>
      <c r="I138" s="5">
        <v>1118</v>
      </c>
      <c r="J138" s="5">
        <f>146776/1000</f>
        <v>146.776</v>
      </c>
      <c r="K138" s="5"/>
      <c r="L138" s="5">
        <f>SUM(D138:K138)</f>
        <v>26212.776</v>
      </c>
      <c r="M138" s="3"/>
      <c r="N138" s="1"/>
    </row>
    <row r="139" spans="1:14" ht="12.75">
      <c r="A139" s="3"/>
      <c r="B139" s="3"/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3"/>
      <c r="N139" s="1"/>
    </row>
    <row r="140" spans="1:14" ht="12.75">
      <c r="A140" s="3"/>
      <c r="B140" s="3"/>
      <c r="C140" s="9" t="s">
        <v>119</v>
      </c>
      <c r="D140" s="5">
        <f aca="true" t="shared" si="20" ref="D140:J140">SUM(D142:D144)</f>
        <v>12552.124</v>
      </c>
      <c r="E140" s="5">
        <f t="shared" si="20"/>
        <v>1109</v>
      </c>
      <c r="F140" s="5">
        <f t="shared" si="20"/>
        <v>2423</v>
      </c>
      <c r="G140" s="5">
        <f t="shared" si="20"/>
        <v>2739</v>
      </c>
      <c r="H140" s="5">
        <f t="shared" si="20"/>
        <v>4969</v>
      </c>
      <c r="I140" s="5">
        <f t="shared" si="20"/>
        <v>3891</v>
      </c>
      <c r="J140" s="5">
        <f t="shared" si="20"/>
        <v>235.181</v>
      </c>
      <c r="K140" s="5"/>
      <c r="L140" s="5">
        <f>SUM(L142:L144)</f>
        <v>27918.305</v>
      </c>
      <c r="M140" s="3"/>
      <c r="N140" s="1"/>
    </row>
    <row r="141" spans="1:14" ht="12.75">
      <c r="A141" s="3"/>
      <c r="B141" s="3"/>
      <c r="C141" s="3"/>
      <c r="D141" s="5"/>
      <c r="E141" s="5"/>
      <c r="F141" s="5"/>
      <c r="G141" s="5"/>
      <c r="H141" s="5"/>
      <c r="I141" s="5"/>
      <c r="J141" s="5"/>
      <c r="K141" s="5"/>
      <c r="L141" s="5"/>
      <c r="M141" s="3"/>
      <c r="N141" s="1"/>
    </row>
    <row r="142" spans="1:14" ht="12.75">
      <c r="A142" s="3"/>
      <c r="B142" s="7" t="s">
        <v>120</v>
      </c>
      <c r="C142" s="2" t="s">
        <v>121</v>
      </c>
      <c r="D142" s="5">
        <f>899556/1000</f>
        <v>899.556</v>
      </c>
      <c r="E142" s="5">
        <v>81</v>
      </c>
      <c r="F142" s="5">
        <v>668</v>
      </c>
      <c r="G142" s="5">
        <v>1261</v>
      </c>
      <c r="H142" s="5">
        <v>2469</v>
      </c>
      <c r="I142" s="5">
        <v>2787</v>
      </c>
      <c r="J142" s="5">
        <f>78366/1000</f>
        <v>78.366</v>
      </c>
      <c r="K142" s="5"/>
      <c r="L142" s="5">
        <f>SUM(D142:K142)</f>
        <v>8243.922</v>
      </c>
      <c r="M142" s="3"/>
      <c r="N142" s="1"/>
    </row>
    <row r="143" spans="1:14" ht="12.75">
      <c r="A143" s="3"/>
      <c r="B143" s="6">
        <v>97</v>
      </c>
      <c r="C143" s="2" t="s">
        <v>122</v>
      </c>
      <c r="D143" s="5">
        <f>5537079/1000</f>
        <v>5537.079</v>
      </c>
      <c r="E143" s="5">
        <v>251</v>
      </c>
      <c r="F143" s="5">
        <v>322</v>
      </c>
      <c r="G143" s="5">
        <v>535</v>
      </c>
      <c r="H143" s="5">
        <v>624</v>
      </c>
      <c r="I143" s="5">
        <v>362</v>
      </c>
      <c r="J143" s="5">
        <v>32.374</v>
      </c>
      <c r="K143" s="5"/>
      <c r="L143" s="5">
        <f>SUM(D143:K143)</f>
        <v>7663.4529999999995</v>
      </c>
      <c r="M143" s="3"/>
      <c r="N143" s="1"/>
    </row>
    <row r="144" spans="1:14" ht="12.75">
      <c r="A144" s="3"/>
      <c r="B144" s="6">
        <v>100</v>
      </c>
      <c r="C144" s="2" t="s">
        <v>123</v>
      </c>
      <c r="D144" s="5">
        <f>6115489/1000</f>
        <v>6115.489</v>
      </c>
      <c r="E144" s="5">
        <v>777</v>
      </c>
      <c r="F144" s="5">
        <v>1433</v>
      </c>
      <c r="G144" s="5">
        <v>943</v>
      </c>
      <c r="H144" s="5">
        <v>1876</v>
      </c>
      <c r="I144" s="5">
        <v>742</v>
      </c>
      <c r="J144" s="5">
        <f>124441/1000</f>
        <v>124.441</v>
      </c>
      <c r="K144" s="5"/>
      <c r="L144" s="5">
        <f>SUM(D144:K144)</f>
        <v>12010.93</v>
      </c>
      <c r="M144" s="3"/>
      <c r="N144" s="1"/>
    </row>
    <row r="145" spans="1:14" ht="12.75">
      <c r="A145" s="3"/>
      <c r="B145" s="3"/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3"/>
      <c r="N145" s="1"/>
    </row>
    <row r="146" spans="1:14" ht="12.75">
      <c r="A146" s="3"/>
      <c r="B146" s="3"/>
      <c r="C146" s="9" t="s">
        <v>124</v>
      </c>
      <c r="D146" s="5">
        <f aca="true" t="shared" si="21" ref="D146:J146">SUM(D148:D153)</f>
        <v>27257.025999999998</v>
      </c>
      <c r="E146" s="5">
        <f t="shared" si="21"/>
        <v>2129</v>
      </c>
      <c r="F146" s="5">
        <f t="shared" si="21"/>
        <v>3200</v>
      </c>
      <c r="G146" s="5">
        <f t="shared" si="21"/>
        <v>8156</v>
      </c>
      <c r="H146" s="5">
        <f t="shared" si="21"/>
        <v>15245</v>
      </c>
      <c r="I146" s="5">
        <f t="shared" si="21"/>
        <v>8255</v>
      </c>
      <c r="J146" s="5">
        <f t="shared" si="21"/>
        <v>765</v>
      </c>
      <c r="K146" s="5"/>
      <c r="L146" s="5">
        <f>SUM(L148:L153)</f>
        <v>65007.026000000005</v>
      </c>
      <c r="M146" s="3"/>
      <c r="N146" s="1"/>
    </row>
    <row r="147" spans="1:14" ht="12.75">
      <c r="A147" s="3"/>
      <c r="B147" s="3"/>
      <c r="C147" s="9"/>
      <c r="D147" s="5"/>
      <c r="E147" s="5"/>
      <c r="F147" s="5"/>
      <c r="G147" s="5"/>
      <c r="H147" s="5"/>
      <c r="I147" s="5"/>
      <c r="J147" s="5"/>
      <c r="K147" s="5"/>
      <c r="L147" s="5"/>
      <c r="M147" s="3"/>
      <c r="N147" s="1"/>
    </row>
    <row r="148" spans="1:14" ht="12.75">
      <c r="A148" s="3"/>
      <c r="B148" s="6">
        <v>22</v>
      </c>
      <c r="C148" s="2" t="s">
        <v>125</v>
      </c>
      <c r="D148" s="5">
        <f>8422922/1000</f>
        <v>8422.922</v>
      </c>
      <c r="E148" s="5">
        <v>371</v>
      </c>
      <c r="F148" s="5">
        <v>209</v>
      </c>
      <c r="G148" s="5">
        <v>209</v>
      </c>
      <c r="H148" s="5">
        <v>562</v>
      </c>
      <c r="I148" s="5">
        <v>739</v>
      </c>
      <c r="J148" s="5">
        <v>13</v>
      </c>
      <c r="K148" s="5"/>
      <c r="L148" s="5">
        <f aca="true" t="shared" si="22" ref="L148:L153">SUM(D148:K148)</f>
        <v>10525.922</v>
      </c>
      <c r="M148" s="3"/>
      <c r="N148" s="1"/>
    </row>
    <row r="149" spans="1:14" ht="12.75">
      <c r="A149" s="3"/>
      <c r="B149" s="6">
        <v>78</v>
      </c>
      <c r="C149" s="2" t="s">
        <v>126</v>
      </c>
      <c r="D149" s="5">
        <f>3519069/1000</f>
        <v>3519.069</v>
      </c>
      <c r="E149" s="5">
        <v>1041</v>
      </c>
      <c r="F149" s="5">
        <v>748</v>
      </c>
      <c r="G149" s="5">
        <v>2185</v>
      </c>
      <c r="H149" s="5">
        <v>4264</v>
      </c>
      <c r="I149" s="5">
        <v>2711</v>
      </c>
      <c r="J149" s="5">
        <v>277</v>
      </c>
      <c r="K149" s="5"/>
      <c r="L149" s="5">
        <f t="shared" si="22"/>
        <v>14745.069</v>
      </c>
      <c r="M149" s="3"/>
      <c r="N149" s="1"/>
    </row>
    <row r="150" spans="1:14" ht="12.75">
      <c r="A150" s="3"/>
      <c r="B150" s="6">
        <v>88</v>
      </c>
      <c r="C150" s="2" t="s">
        <v>127</v>
      </c>
      <c r="D150" s="5">
        <f>2118601/1000</f>
        <v>2118.601</v>
      </c>
      <c r="E150" s="5">
        <v>122</v>
      </c>
      <c r="F150" s="5">
        <v>604</v>
      </c>
      <c r="G150" s="5">
        <v>1853</v>
      </c>
      <c r="H150" s="5">
        <v>2469</v>
      </c>
      <c r="I150" s="5">
        <v>939</v>
      </c>
      <c r="J150" s="5">
        <v>126</v>
      </c>
      <c r="K150" s="5"/>
      <c r="L150" s="5">
        <f t="shared" si="22"/>
        <v>8231.601</v>
      </c>
      <c r="M150" s="3"/>
      <c r="N150" s="1"/>
    </row>
    <row r="151" spans="1:14" ht="12.75">
      <c r="A151" s="3"/>
      <c r="B151" s="6">
        <v>89</v>
      </c>
      <c r="C151" s="2" t="s">
        <v>128</v>
      </c>
      <c r="D151" s="5">
        <f>2508448/1000</f>
        <v>2508.448</v>
      </c>
      <c r="E151" s="5">
        <v>152</v>
      </c>
      <c r="F151" s="5">
        <v>697</v>
      </c>
      <c r="G151" s="5">
        <v>1362</v>
      </c>
      <c r="H151" s="5">
        <v>2883</v>
      </c>
      <c r="I151" s="5">
        <v>1599</v>
      </c>
      <c r="J151" s="5">
        <v>78</v>
      </c>
      <c r="K151" s="5"/>
      <c r="L151" s="5">
        <f t="shared" si="22"/>
        <v>9279.448</v>
      </c>
      <c r="M151" s="3"/>
      <c r="N151" s="1"/>
    </row>
    <row r="152" spans="1:14" ht="12.75">
      <c r="A152" s="3"/>
      <c r="B152" s="6">
        <v>90</v>
      </c>
      <c r="C152" s="2" t="s">
        <v>125</v>
      </c>
      <c r="D152" s="5">
        <f>7277314/1000</f>
        <v>7277.314</v>
      </c>
      <c r="E152" s="5">
        <v>255</v>
      </c>
      <c r="F152" s="5">
        <v>255</v>
      </c>
      <c r="G152" s="5">
        <v>464</v>
      </c>
      <c r="H152" s="5">
        <v>1249</v>
      </c>
      <c r="I152" s="5">
        <v>644</v>
      </c>
      <c r="J152" s="5">
        <v>14</v>
      </c>
      <c r="K152" s="5"/>
      <c r="L152" s="5">
        <f t="shared" si="22"/>
        <v>10158.314</v>
      </c>
      <c r="M152" s="3"/>
      <c r="N152" s="1"/>
    </row>
    <row r="153" spans="1:14" ht="12.75">
      <c r="A153" s="3"/>
      <c r="B153" s="6">
        <v>91</v>
      </c>
      <c r="C153" s="2" t="s">
        <v>129</v>
      </c>
      <c r="D153" s="5">
        <f>3410672/1000</f>
        <v>3410.672</v>
      </c>
      <c r="E153" s="5">
        <v>188</v>
      </c>
      <c r="F153" s="5">
        <v>687</v>
      </c>
      <c r="G153" s="5">
        <v>2083</v>
      </c>
      <c r="H153" s="5">
        <v>3818</v>
      </c>
      <c r="I153" s="5">
        <v>1623</v>
      </c>
      <c r="J153" s="5">
        <v>257</v>
      </c>
      <c r="K153" s="5"/>
      <c r="L153" s="5">
        <f t="shared" si="22"/>
        <v>12066.672</v>
      </c>
      <c r="M153" s="3"/>
      <c r="N153" s="1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4" ht="12.75">
      <c r="A155" s="3"/>
      <c r="B155" s="3"/>
      <c r="C155" s="9" t="s">
        <v>130</v>
      </c>
      <c r="D155" s="5">
        <f aca="true" t="shared" si="23" ref="D155:J155">SUM(D157:D159)</f>
        <v>45299</v>
      </c>
      <c r="E155" s="5">
        <f t="shared" si="23"/>
        <v>3587</v>
      </c>
      <c r="F155" s="5">
        <f t="shared" si="23"/>
        <v>522</v>
      </c>
      <c r="G155" s="5">
        <f t="shared" si="23"/>
        <v>102</v>
      </c>
      <c r="H155" s="5">
        <f t="shared" si="23"/>
        <v>5577</v>
      </c>
      <c r="I155" s="5">
        <f t="shared" si="23"/>
        <v>2359</v>
      </c>
      <c r="J155" s="5">
        <f t="shared" si="23"/>
        <v>221</v>
      </c>
      <c r="K155" s="5"/>
      <c r="L155" s="5">
        <f>SUM(L157:L159)</f>
        <v>57667</v>
      </c>
      <c r="M155" s="3"/>
      <c r="N155" s="1"/>
    </row>
    <row r="156" spans="1:14" ht="12.75">
      <c r="A156" s="3"/>
      <c r="B156" s="3"/>
      <c r="C156" s="3"/>
      <c r="D156" s="5"/>
      <c r="E156" s="5"/>
      <c r="F156" s="5"/>
      <c r="G156" s="5"/>
      <c r="H156" s="5"/>
      <c r="I156" s="5"/>
      <c r="J156" s="5"/>
      <c r="K156" s="5"/>
      <c r="L156" s="5"/>
      <c r="M156" s="3"/>
      <c r="N156" s="1"/>
    </row>
    <row r="157" spans="1:14" ht="12.75">
      <c r="A157" s="3"/>
      <c r="B157" s="6">
        <v>28</v>
      </c>
      <c r="C157" s="2" t="s">
        <v>131</v>
      </c>
      <c r="D157" s="5">
        <v>11972</v>
      </c>
      <c r="E157" s="5">
        <v>1095</v>
      </c>
      <c r="F157" s="5">
        <v>266</v>
      </c>
      <c r="G157" s="5">
        <v>47</v>
      </c>
      <c r="H157" s="5">
        <v>2214</v>
      </c>
      <c r="I157" s="5">
        <v>661</v>
      </c>
      <c r="J157" s="5">
        <v>158</v>
      </c>
      <c r="K157" s="5"/>
      <c r="L157" s="5">
        <f>SUM(D157:K157)</f>
        <v>16413</v>
      </c>
      <c r="M157" s="3"/>
      <c r="N157" s="1"/>
    </row>
    <row r="158" spans="1:14" ht="12.75">
      <c r="A158" s="3"/>
      <c r="B158" s="6">
        <v>36</v>
      </c>
      <c r="C158" s="2" t="s">
        <v>131</v>
      </c>
      <c r="D158" s="5">
        <v>11061</v>
      </c>
      <c r="E158" s="5">
        <v>684</v>
      </c>
      <c r="F158" s="5">
        <v>195</v>
      </c>
      <c r="G158" s="5">
        <v>55</v>
      </c>
      <c r="H158" s="5">
        <v>1867</v>
      </c>
      <c r="I158" s="5">
        <v>1219</v>
      </c>
      <c r="J158" s="5">
        <v>63</v>
      </c>
      <c r="K158" s="5"/>
      <c r="L158" s="5">
        <f>SUM(D158:K158)</f>
        <v>15144</v>
      </c>
      <c r="M158" s="3"/>
      <c r="N158" s="1"/>
    </row>
    <row r="159" spans="1:14" ht="12.75">
      <c r="A159" s="3"/>
      <c r="B159" s="6">
        <v>125</v>
      </c>
      <c r="C159" s="2" t="s">
        <v>131</v>
      </c>
      <c r="D159" s="5">
        <v>22266</v>
      </c>
      <c r="E159" s="5">
        <v>1808</v>
      </c>
      <c r="F159" s="5">
        <v>61</v>
      </c>
      <c r="G159" s="5"/>
      <c r="H159" s="5">
        <v>1496</v>
      </c>
      <c r="I159" s="5">
        <v>479</v>
      </c>
      <c r="J159" s="5"/>
      <c r="K159" s="5"/>
      <c r="L159" s="5">
        <f>SUM(D159:K159)</f>
        <v>26110</v>
      </c>
      <c r="M159" s="5"/>
      <c r="N159" s="1"/>
    </row>
    <row r="160" spans="1:14" ht="12.75">
      <c r="A160" s="3"/>
      <c r="B160" s="3"/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3"/>
      <c r="N160" s="1"/>
    </row>
    <row r="161" spans="1:14" ht="12.75">
      <c r="A161" s="3"/>
      <c r="B161" s="3"/>
      <c r="C161" s="9" t="s">
        <v>132</v>
      </c>
      <c r="D161" s="5">
        <f aca="true" t="shared" si="24" ref="D161:K161">SUM(D163:D165)</f>
        <v>19629.455</v>
      </c>
      <c r="E161" s="5">
        <f t="shared" si="24"/>
        <v>3719</v>
      </c>
      <c r="F161" s="5">
        <f t="shared" si="24"/>
        <v>3414</v>
      </c>
      <c r="G161" s="5">
        <f t="shared" si="24"/>
        <v>3314</v>
      </c>
      <c r="H161" s="5">
        <f t="shared" si="24"/>
        <v>10542</v>
      </c>
      <c r="I161" s="5">
        <f t="shared" si="24"/>
        <v>6103</v>
      </c>
      <c r="J161" s="5">
        <f t="shared" si="24"/>
        <v>258</v>
      </c>
      <c r="K161" s="5">
        <f t="shared" si="24"/>
        <v>0</v>
      </c>
      <c r="L161" s="5">
        <f>SUM(L163:L165)-2</f>
        <v>46977.455</v>
      </c>
      <c r="M161" s="3"/>
      <c r="N161" s="1"/>
    </row>
    <row r="162" spans="1:14" ht="12.75">
      <c r="A162" s="3"/>
      <c r="B162" s="3"/>
      <c r="C162" s="3"/>
      <c r="D162" s="5"/>
      <c r="E162" s="5"/>
      <c r="F162" s="5"/>
      <c r="G162" s="5"/>
      <c r="H162" s="5"/>
      <c r="I162" s="5"/>
      <c r="J162" s="5"/>
      <c r="K162" s="5"/>
      <c r="L162" s="5"/>
      <c r="M162" s="3"/>
      <c r="N162" s="1"/>
    </row>
    <row r="163" spans="1:14" ht="12.75">
      <c r="A163" s="3"/>
      <c r="B163" s="6">
        <v>26</v>
      </c>
      <c r="C163" s="2" t="s">
        <v>133</v>
      </c>
      <c r="D163" s="5">
        <f>2283284/1000</f>
        <v>2283.284</v>
      </c>
      <c r="E163" s="5">
        <v>1096</v>
      </c>
      <c r="F163" s="5">
        <v>1296</v>
      </c>
      <c r="G163" s="5">
        <v>1361</v>
      </c>
      <c r="H163" s="5">
        <v>4566</v>
      </c>
      <c r="I163" s="5">
        <v>2968</v>
      </c>
      <c r="J163" s="5">
        <v>96</v>
      </c>
      <c r="K163" s="5"/>
      <c r="L163" s="5">
        <f>SUM(D163:K163)</f>
        <v>13666.284</v>
      </c>
      <c r="M163" s="3"/>
      <c r="N163" s="1"/>
    </row>
    <row r="164" spans="1:14" ht="12.75">
      <c r="A164" s="3"/>
      <c r="B164" s="6">
        <v>39</v>
      </c>
      <c r="C164" s="2" t="s">
        <v>133</v>
      </c>
      <c r="D164" s="5">
        <f>9794171/1000</f>
        <v>9794.171</v>
      </c>
      <c r="E164" s="5">
        <v>1732</v>
      </c>
      <c r="F164" s="5">
        <v>1627</v>
      </c>
      <c r="G164" s="5">
        <v>1187</v>
      </c>
      <c r="H164" s="5">
        <v>4928</v>
      </c>
      <c r="I164" s="5">
        <v>2492</v>
      </c>
      <c r="J164" s="5">
        <v>87</v>
      </c>
      <c r="K164" s="5"/>
      <c r="L164" s="5">
        <f>SUM(D164:K164)</f>
        <v>21847.171000000002</v>
      </c>
      <c r="M164" s="3"/>
      <c r="N164" s="1"/>
    </row>
    <row r="165" spans="1:14" ht="12.75">
      <c r="A165" s="3"/>
      <c r="B165" s="6">
        <v>126</v>
      </c>
      <c r="C165" s="2" t="s">
        <v>134</v>
      </c>
      <c r="D165" s="5">
        <v>7552</v>
      </c>
      <c r="E165" s="5">
        <v>891</v>
      </c>
      <c r="F165" s="5">
        <v>491</v>
      </c>
      <c r="G165" s="5">
        <v>766</v>
      </c>
      <c r="H165" s="5">
        <v>1048</v>
      </c>
      <c r="I165" s="5">
        <v>643</v>
      </c>
      <c r="J165" s="5">
        <v>75</v>
      </c>
      <c r="K165" s="5"/>
      <c r="L165" s="5">
        <f>SUM(D165:K165)</f>
        <v>11466</v>
      </c>
      <c r="M165" s="3"/>
      <c r="N165" s="1"/>
    </row>
    <row r="166" spans="1:14" ht="12.75">
      <c r="A166" s="3"/>
      <c r="B166" s="3"/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3"/>
      <c r="N166" s="1"/>
    </row>
    <row r="167" spans="1:14" ht="12.75">
      <c r="A167" s="3"/>
      <c r="B167" s="3"/>
      <c r="C167" s="9" t="s">
        <v>135</v>
      </c>
      <c r="D167" s="5">
        <f aca="true" t="shared" si="25" ref="D167:J167">SUM(D169:D170)</f>
        <v>20277.48</v>
      </c>
      <c r="E167" s="5">
        <f t="shared" si="25"/>
        <v>3913</v>
      </c>
      <c r="F167" s="5">
        <f t="shared" si="25"/>
        <v>1446</v>
      </c>
      <c r="G167" s="5">
        <f t="shared" si="25"/>
        <v>7769</v>
      </c>
      <c r="H167" s="5">
        <f t="shared" si="25"/>
        <v>6591</v>
      </c>
      <c r="I167" s="5">
        <f t="shared" si="25"/>
        <v>3083</v>
      </c>
      <c r="J167" s="5">
        <f t="shared" si="25"/>
        <v>461</v>
      </c>
      <c r="K167" s="5"/>
      <c r="L167" s="5">
        <f>SUM(L169:L170)</f>
        <v>43540.479999999996</v>
      </c>
      <c r="M167" s="3"/>
      <c r="N167" s="1"/>
    </row>
    <row r="168" spans="1:14" ht="12.75">
      <c r="A168" s="3"/>
      <c r="B168" s="3"/>
      <c r="C168" s="3"/>
      <c r="D168" s="5"/>
      <c r="E168" s="5"/>
      <c r="F168" s="5"/>
      <c r="G168" s="5"/>
      <c r="H168" s="5"/>
      <c r="I168" s="5"/>
      <c r="J168" s="5"/>
      <c r="K168" s="5"/>
      <c r="L168" s="5"/>
      <c r="M168" s="3"/>
      <c r="N168" s="1"/>
    </row>
    <row r="169" spans="1:14" ht="12.75">
      <c r="A169" s="3"/>
      <c r="B169" s="6">
        <v>65</v>
      </c>
      <c r="C169" s="2" t="s">
        <v>136</v>
      </c>
      <c r="D169" s="5">
        <f>14431817/1000</f>
        <v>14431.817</v>
      </c>
      <c r="E169" s="5">
        <v>3152</v>
      </c>
      <c r="F169" s="5">
        <v>448</v>
      </c>
      <c r="G169" s="5">
        <v>2198</v>
      </c>
      <c r="H169" s="5">
        <v>855</v>
      </c>
      <c r="I169" s="5">
        <v>990</v>
      </c>
      <c r="J169" s="5">
        <v>91</v>
      </c>
      <c r="K169" s="5"/>
      <c r="L169" s="5">
        <f>SUM(D169:K169)</f>
        <v>22165.817</v>
      </c>
      <c r="M169" s="3"/>
      <c r="N169" s="1"/>
    </row>
    <row r="170" spans="1:14" ht="12.75">
      <c r="A170" s="3"/>
      <c r="B170" s="6">
        <v>73</v>
      </c>
      <c r="C170" s="2" t="s">
        <v>137</v>
      </c>
      <c r="D170" s="5">
        <f>5845663/1000</f>
        <v>5845.663</v>
      </c>
      <c r="E170" s="5">
        <v>761</v>
      </c>
      <c r="F170" s="5">
        <v>998</v>
      </c>
      <c r="G170" s="5">
        <v>5571</v>
      </c>
      <c r="H170" s="5">
        <v>5736</v>
      </c>
      <c r="I170" s="5">
        <v>2093</v>
      </c>
      <c r="J170" s="5">
        <v>370</v>
      </c>
      <c r="K170" s="5"/>
      <c r="L170" s="5">
        <f>SUM(D170:K170)</f>
        <v>21374.663</v>
      </c>
      <c r="M170" s="3"/>
      <c r="N170" s="1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4" ht="12.75">
      <c r="A172" s="3"/>
      <c r="B172" s="3"/>
      <c r="C172" s="9" t="s">
        <v>138</v>
      </c>
      <c r="D172" s="5">
        <f aca="true" t="shared" si="26" ref="D172:J172">SUM(D174:D176)</f>
        <v>33238.740000000005</v>
      </c>
      <c r="E172" s="5">
        <f t="shared" si="26"/>
        <v>1888</v>
      </c>
      <c r="F172" s="5">
        <f t="shared" si="26"/>
        <v>3921</v>
      </c>
      <c r="G172" s="5">
        <f t="shared" si="26"/>
        <v>6451</v>
      </c>
      <c r="H172" s="5">
        <f t="shared" si="26"/>
        <v>18853</v>
      </c>
      <c r="I172" s="5">
        <f t="shared" si="26"/>
        <v>8434</v>
      </c>
      <c r="J172" s="5">
        <f t="shared" si="26"/>
        <v>367</v>
      </c>
      <c r="K172" s="5"/>
      <c r="L172" s="5">
        <f>SUM(L174:L176)</f>
        <v>73152.74</v>
      </c>
      <c r="M172" s="3"/>
      <c r="N172" s="1"/>
    </row>
    <row r="173" spans="1:14" ht="12.75">
      <c r="A173" s="3"/>
      <c r="B173" s="3"/>
      <c r="C173" s="3"/>
      <c r="D173" s="5"/>
      <c r="E173" s="5"/>
      <c r="F173" s="5"/>
      <c r="G173" s="5"/>
      <c r="H173" s="5"/>
      <c r="I173" s="5"/>
      <c r="J173" s="5"/>
      <c r="K173" s="5"/>
      <c r="L173" s="5"/>
      <c r="M173" s="3"/>
      <c r="N173" s="1"/>
    </row>
    <row r="174" spans="1:14" ht="12.75">
      <c r="A174" s="3"/>
      <c r="B174" s="6">
        <v>32</v>
      </c>
      <c r="C174" s="2" t="s">
        <v>139</v>
      </c>
      <c r="D174" s="5">
        <f>11352796/1000</f>
        <v>11352.796</v>
      </c>
      <c r="E174" s="5">
        <v>861</v>
      </c>
      <c r="F174" s="5">
        <v>2445</v>
      </c>
      <c r="G174" s="5">
        <v>3916</v>
      </c>
      <c r="H174" s="5">
        <v>9724</v>
      </c>
      <c r="I174" s="5">
        <v>4000</v>
      </c>
      <c r="J174" s="5">
        <v>184</v>
      </c>
      <c r="K174" s="5"/>
      <c r="L174" s="5">
        <f>SUM(D174:K174)</f>
        <v>32482.796000000002</v>
      </c>
      <c r="M174" s="3"/>
      <c r="N174" s="1"/>
    </row>
    <row r="175" spans="1:14" ht="12.75">
      <c r="A175" s="3"/>
      <c r="B175" s="6">
        <v>54</v>
      </c>
      <c r="C175" s="2" t="s">
        <v>140</v>
      </c>
      <c r="D175" s="5">
        <f>16757699/1000</f>
        <v>16757.699</v>
      </c>
      <c r="E175" s="5">
        <v>674</v>
      </c>
      <c r="F175" s="5">
        <v>1233</v>
      </c>
      <c r="G175" s="5">
        <v>1916</v>
      </c>
      <c r="H175" s="5">
        <v>7155</v>
      </c>
      <c r="I175" s="5">
        <v>3470</v>
      </c>
      <c r="J175" s="5">
        <v>115</v>
      </c>
      <c r="K175" s="5"/>
      <c r="L175" s="5">
        <f>SUM(D175:K175)</f>
        <v>31320.699</v>
      </c>
      <c r="M175" s="3"/>
      <c r="N175" s="1"/>
    </row>
    <row r="176" spans="1:14" ht="12.75">
      <c r="A176" s="3"/>
      <c r="B176" s="6">
        <v>82</v>
      </c>
      <c r="C176" s="2" t="s">
        <v>139</v>
      </c>
      <c r="D176" s="5">
        <f>5128245/1000</f>
        <v>5128.245</v>
      </c>
      <c r="E176" s="5">
        <v>353</v>
      </c>
      <c r="F176" s="5">
        <v>243</v>
      </c>
      <c r="G176" s="5">
        <v>619</v>
      </c>
      <c r="H176" s="5">
        <v>1974</v>
      </c>
      <c r="I176" s="5">
        <v>964</v>
      </c>
      <c r="J176" s="5">
        <v>68</v>
      </c>
      <c r="K176" s="5"/>
      <c r="L176" s="5">
        <f>SUM(D176:K176)</f>
        <v>9349.244999999999</v>
      </c>
      <c r="M176" s="3"/>
      <c r="N176" s="1"/>
    </row>
    <row r="177" spans="1:14" ht="12.75">
      <c r="A177" s="3"/>
      <c r="B177" s="3"/>
      <c r="C177" s="3"/>
      <c r="D177" s="5"/>
      <c r="E177" s="5"/>
      <c r="F177" s="5"/>
      <c r="G177" s="5"/>
      <c r="H177" s="5"/>
      <c r="I177" s="5"/>
      <c r="J177" s="5"/>
      <c r="K177" s="5"/>
      <c r="L177" s="5"/>
      <c r="M177" s="3"/>
      <c r="N177" s="1"/>
    </row>
    <row r="178" spans="1:14" ht="12.75">
      <c r="A178" s="3"/>
      <c r="B178" s="3"/>
      <c r="C178" s="9" t="s">
        <v>141</v>
      </c>
      <c r="D178" s="5">
        <f aca="true" t="shared" si="27" ref="D178:J178">SUM(D180:D181)</f>
        <v>39206.741</v>
      </c>
      <c r="E178" s="5">
        <f t="shared" si="27"/>
        <v>2397</v>
      </c>
      <c r="F178" s="5">
        <f t="shared" si="27"/>
        <v>6955</v>
      </c>
      <c r="G178" s="5">
        <f t="shared" si="27"/>
        <v>8502</v>
      </c>
      <c r="H178" s="5">
        <f t="shared" si="27"/>
        <v>10921</v>
      </c>
      <c r="I178" s="5">
        <f t="shared" si="27"/>
        <v>15378</v>
      </c>
      <c r="J178" s="5">
        <f t="shared" si="27"/>
        <v>1297</v>
      </c>
      <c r="K178" s="5"/>
      <c r="L178" s="5">
        <f>SUM(L180:L181)</f>
        <v>84656.741</v>
      </c>
      <c r="M178" s="3"/>
      <c r="N178" s="1"/>
    </row>
    <row r="179" spans="1:14" ht="12.75">
      <c r="A179" s="3"/>
      <c r="B179" s="3"/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3"/>
      <c r="N179" s="1"/>
    </row>
    <row r="180" spans="1:14" ht="12.75">
      <c r="A180" s="3"/>
      <c r="B180" s="6">
        <v>25</v>
      </c>
      <c r="C180" s="2" t="s">
        <v>142</v>
      </c>
      <c r="D180" s="5">
        <f>14331272/1000</f>
        <v>14331.272</v>
      </c>
      <c r="E180" s="5">
        <v>865</v>
      </c>
      <c r="F180" s="5">
        <v>5089</v>
      </c>
      <c r="G180" s="5">
        <v>7545</v>
      </c>
      <c r="H180" s="5">
        <v>7595</v>
      </c>
      <c r="I180" s="5">
        <v>9885</v>
      </c>
      <c r="J180" s="5">
        <v>988</v>
      </c>
      <c r="K180" s="5"/>
      <c r="L180" s="5">
        <f>SUM(D180:K180)</f>
        <v>46298.272</v>
      </c>
      <c r="M180" s="3"/>
      <c r="N180" s="1"/>
    </row>
    <row r="181" spans="1:14" ht="12.75">
      <c r="A181" s="3"/>
      <c r="B181" s="6">
        <v>93</v>
      </c>
      <c r="C181" s="2" t="s">
        <v>143</v>
      </c>
      <c r="D181" s="5">
        <f>24875469/1000</f>
        <v>24875.469</v>
      </c>
      <c r="E181" s="5">
        <v>1532</v>
      </c>
      <c r="F181" s="5">
        <v>1866</v>
      </c>
      <c r="G181" s="5">
        <v>957</v>
      </c>
      <c r="H181" s="5">
        <v>3326</v>
      </c>
      <c r="I181" s="5">
        <v>5493</v>
      </c>
      <c r="J181" s="5">
        <v>309</v>
      </c>
      <c r="K181" s="5"/>
      <c r="L181" s="5">
        <f>SUM(D181:K181)</f>
        <v>38358.469</v>
      </c>
      <c r="M181" s="3"/>
      <c r="N181" s="1"/>
    </row>
    <row r="182" spans="1:14" ht="12.75">
      <c r="A182" s="3"/>
      <c r="B182" s="3"/>
      <c r="C182" s="3"/>
      <c r="D182" s="5"/>
      <c r="E182" s="5"/>
      <c r="F182" s="5"/>
      <c r="G182" s="5"/>
      <c r="H182" s="5"/>
      <c r="I182" s="5"/>
      <c r="J182" s="5"/>
      <c r="K182" s="5"/>
      <c r="L182" s="5"/>
      <c r="M182" s="3"/>
      <c r="N182" s="1"/>
    </row>
    <row r="183" spans="1:14" ht="12.75">
      <c r="A183" s="3"/>
      <c r="B183" s="3"/>
      <c r="C183" s="9" t="s">
        <v>144</v>
      </c>
      <c r="D183" s="5">
        <f aca="true" t="shared" si="28" ref="D183:J183">SUM(D185:D187)</f>
        <v>55274</v>
      </c>
      <c r="E183" s="5">
        <f t="shared" si="28"/>
        <v>5253</v>
      </c>
      <c r="F183" s="5">
        <f t="shared" si="28"/>
        <v>2466</v>
      </c>
      <c r="G183" s="5">
        <f t="shared" si="28"/>
        <v>1944.142</v>
      </c>
      <c r="H183" s="5">
        <f t="shared" si="28"/>
        <v>8383</v>
      </c>
      <c r="I183" s="5">
        <f t="shared" si="28"/>
        <v>6715</v>
      </c>
      <c r="J183" s="5">
        <f t="shared" si="28"/>
        <v>435</v>
      </c>
      <c r="K183" s="5"/>
      <c r="L183" s="5">
        <f>SUM(L185:L187)</f>
        <v>80470.14199999999</v>
      </c>
      <c r="M183" s="3"/>
      <c r="N183" s="1"/>
    </row>
    <row r="184" spans="1:14" ht="12.75">
      <c r="A184" s="3"/>
      <c r="B184" s="3"/>
      <c r="C184" s="3"/>
      <c r="D184" s="5"/>
      <c r="E184" s="5"/>
      <c r="F184" s="5"/>
      <c r="G184" s="5"/>
      <c r="H184" s="5"/>
      <c r="I184" s="5"/>
      <c r="J184" s="5"/>
      <c r="K184" s="5"/>
      <c r="L184" s="5"/>
      <c r="M184" s="3"/>
      <c r="N184" s="1"/>
    </row>
    <row r="185" spans="1:14" ht="12.75">
      <c r="A185" s="3"/>
      <c r="B185" s="6">
        <v>31</v>
      </c>
      <c r="C185" s="2" t="s">
        <v>145</v>
      </c>
      <c r="D185" s="5">
        <v>19176</v>
      </c>
      <c r="E185" s="5">
        <v>2973</v>
      </c>
      <c r="F185" s="5">
        <v>1087</v>
      </c>
      <c r="G185" s="5">
        <v>1097</v>
      </c>
      <c r="H185" s="5">
        <v>3249</v>
      </c>
      <c r="I185" s="5">
        <v>3209</v>
      </c>
      <c r="J185" s="5">
        <v>150</v>
      </c>
      <c r="K185" s="5"/>
      <c r="L185" s="5">
        <f>SUM(D185:K185)</f>
        <v>30941</v>
      </c>
      <c r="M185" s="3"/>
      <c r="N185" s="1"/>
    </row>
    <row r="186" spans="1:14" ht="12.75">
      <c r="A186" s="3"/>
      <c r="B186" s="6">
        <v>46</v>
      </c>
      <c r="C186" s="2" t="s">
        <v>146</v>
      </c>
      <c r="D186" s="5">
        <v>23723</v>
      </c>
      <c r="E186" s="5">
        <v>1610</v>
      </c>
      <c r="F186" s="5">
        <v>1309</v>
      </c>
      <c r="G186" s="5">
        <v>847</v>
      </c>
      <c r="H186" s="5">
        <v>4960</v>
      </c>
      <c r="I186" s="5">
        <v>2712</v>
      </c>
      <c r="J186" s="5">
        <v>285</v>
      </c>
      <c r="K186" s="5"/>
      <c r="L186" s="5">
        <f>SUM(D186:K186)</f>
        <v>35446</v>
      </c>
      <c r="M186" s="3"/>
      <c r="N186" s="1"/>
    </row>
    <row r="187" spans="1:15" ht="12.75">
      <c r="A187" s="3"/>
      <c r="B187" s="6">
        <v>127</v>
      </c>
      <c r="C187" s="2" t="s">
        <v>145</v>
      </c>
      <c r="D187" s="5">
        <v>12375</v>
      </c>
      <c r="E187" s="5">
        <v>670</v>
      </c>
      <c r="F187" s="5">
        <v>70</v>
      </c>
      <c r="G187" s="5">
        <v>0.142</v>
      </c>
      <c r="H187" s="5">
        <v>174</v>
      </c>
      <c r="I187" s="5">
        <v>794</v>
      </c>
      <c r="J187" s="5">
        <v>0</v>
      </c>
      <c r="K187" s="5"/>
      <c r="L187" s="5">
        <f>SUM(D187:K187)</f>
        <v>14083.142</v>
      </c>
      <c r="M187" s="5"/>
      <c r="N187" s="1"/>
      <c r="O187" s="1"/>
    </row>
    <row r="188" spans="1:14" ht="12.75">
      <c r="A188" s="3"/>
      <c r="B188" s="3"/>
      <c r="C188" s="3"/>
      <c r="D188" s="5"/>
      <c r="E188" s="5"/>
      <c r="F188" s="5"/>
      <c r="G188" s="5"/>
      <c r="H188" s="5"/>
      <c r="I188" s="5"/>
      <c r="J188" s="5"/>
      <c r="K188" s="5"/>
      <c r="L188" s="5"/>
      <c r="M188" s="3"/>
      <c r="N188" s="1"/>
    </row>
    <row r="189" spans="1:14" ht="12.75">
      <c r="A189" s="3"/>
      <c r="B189" s="3"/>
      <c r="C189" s="9" t="s">
        <v>147</v>
      </c>
      <c r="D189" s="5">
        <f aca="true" t="shared" si="29" ref="D189:J189">SUM(D191:D193)</f>
        <v>52507.327000000005</v>
      </c>
      <c r="E189" s="5">
        <f t="shared" si="29"/>
        <v>2367</v>
      </c>
      <c r="F189" s="5">
        <f t="shared" si="29"/>
        <v>528</v>
      </c>
      <c r="G189" s="5">
        <f t="shared" si="29"/>
        <v>703</v>
      </c>
      <c r="H189" s="5">
        <f t="shared" si="29"/>
        <v>918</v>
      </c>
      <c r="I189" s="5">
        <f t="shared" si="29"/>
        <v>1773</v>
      </c>
      <c r="J189" s="5">
        <f t="shared" si="29"/>
        <v>182.945</v>
      </c>
      <c r="K189" s="5"/>
      <c r="L189" s="5">
        <f>SUM(L191:L193)</f>
        <v>58979.272000000004</v>
      </c>
      <c r="M189" s="3"/>
      <c r="N189" s="1"/>
    </row>
    <row r="190" spans="1:14" ht="12.75">
      <c r="A190" s="3"/>
      <c r="B190" s="3"/>
      <c r="C190" s="3"/>
      <c r="D190" s="5"/>
      <c r="E190" s="5"/>
      <c r="F190" s="5"/>
      <c r="G190" s="5"/>
      <c r="H190" s="5"/>
      <c r="I190" s="5"/>
      <c r="J190" s="5"/>
      <c r="K190" s="5"/>
      <c r="L190" s="5"/>
      <c r="M190" s="3"/>
      <c r="N190" s="1"/>
    </row>
    <row r="191" spans="1:14" ht="12.75">
      <c r="A191" s="3"/>
      <c r="B191" s="6">
        <v>3</v>
      </c>
      <c r="C191" s="2" t="s">
        <v>148</v>
      </c>
      <c r="D191" s="5">
        <f>26202860/1000</f>
        <v>26202.86</v>
      </c>
      <c r="E191" s="5">
        <v>1233</v>
      </c>
      <c r="F191" s="5">
        <v>236</v>
      </c>
      <c r="G191" s="5">
        <v>452</v>
      </c>
      <c r="H191" s="5">
        <v>195</v>
      </c>
      <c r="I191" s="5">
        <v>1181</v>
      </c>
      <c r="J191" s="5">
        <f>55290/1000</f>
        <v>55.29</v>
      </c>
      <c r="K191" s="5"/>
      <c r="L191" s="5">
        <f>SUM(D191:K191)</f>
        <v>29555.15</v>
      </c>
      <c r="M191" s="3"/>
      <c r="N191" s="1"/>
    </row>
    <row r="192" spans="1:14" ht="12.75">
      <c r="A192" s="3"/>
      <c r="B192" s="6">
        <v>40</v>
      </c>
      <c r="C192" s="2" t="s">
        <v>149</v>
      </c>
      <c r="D192" s="5">
        <f>23387112/1000</f>
        <v>23387.112</v>
      </c>
      <c r="E192" s="5">
        <v>881</v>
      </c>
      <c r="F192" s="5">
        <v>262</v>
      </c>
      <c r="G192" s="5">
        <v>193</v>
      </c>
      <c r="H192" s="5">
        <v>436</v>
      </c>
      <c r="I192" s="5">
        <v>465</v>
      </c>
      <c r="J192" s="5">
        <v>110</v>
      </c>
      <c r="K192" s="5"/>
      <c r="L192" s="5">
        <f>SUM(D192:K192)</f>
        <v>25734.112</v>
      </c>
      <c r="M192" s="3"/>
      <c r="N192" s="1"/>
    </row>
    <row r="193" spans="1:14" ht="12.75">
      <c r="A193" s="3"/>
      <c r="B193" s="6">
        <v>128</v>
      </c>
      <c r="C193" s="2" t="s">
        <v>149</v>
      </c>
      <c r="D193" s="5">
        <f>2917355/1000</f>
        <v>2917.355</v>
      </c>
      <c r="E193" s="5">
        <v>253</v>
      </c>
      <c r="F193" s="5">
        <v>30</v>
      </c>
      <c r="G193" s="5">
        <v>58</v>
      </c>
      <c r="H193" s="5">
        <v>287</v>
      </c>
      <c r="I193" s="5">
        <v>127</v>
      </c>
      <c r="J193" s="5">
        <v>17.655</v>
      </c>
      <c r="K193" s="5"/>
      <c r="L193" s="5">
        <f>SUM(D193:K193)</f>
        <v>3690.01</v>
      </c>
      <c r="M193" s="5"/>
      <c r="N193" s="1"/>
    </row>
    <row r="194" spans="1:14" ht="12.75">
      <c r="A194" s="3"/>
      <c r="B194" s="3"/>
      <c r="C194" s="3"/>
      <c r="D194" s="5"/>
      <c r="E194" s="5"/>
      <c r="F194" s="5"/>
      <c r="G194" s="5"/>
      <c r="H194" s="5"/>
      <c r="I194" s="5"/>
      <c r="J194" s="5"/>
      <c r="K194" s="5"/>
      <c r="L194" s="5"/>
      <c r="M194" s="3"/>
      <c r="N194" s="1"/>
    </row>
    <row r="195" spans="1:14" ht="12.75">
      <c r="A195" s="3"/>
      <c r="B195" s="3"/>
      <c r="C195" s="9" t="s">
        <v>150</v>
      </c>
      <c r="D195" s="5">
        <f aca="true" t="shared" si="30" ref="D195:J195">SUM(D197:D198)</f>
        <v>17058.499000000003</v>
      </c>
      <c r="E195" s="5">
        <f t="shared" si="30"/>
        <v>794</v>
      </c>
      <c r="F195" s="5">
        <f t="shared" si="30"/>
        <v>2923</v>
      </c>
      <c r="G195" s="5">
        <f t="shared" si="30"/>
        <v>2874</v>
      </c>
      <c r="H195" s="5">
        <f t="shared" si="30"/>
        <v>6731</v>
      </c>
      <c r="I195" s="5">
        <f t="shared" si="30"/>
        <v>2735</v>
      </c>
      <c r="J195" s="5">
        <f t="shared" si="30"/>
        <v>478.108</v>
      </c>
      <c r="K195" s="5"/>
      <c r="L195" s="5">
        <f>SUM(L197:L198)</f>
        <v>33593.607</v>
      </c>
      <c r="M195" s="3"/>
      <c r="N195" s="1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4" ht="12.75">
      <c r="A197" s="3"/>
      <c r="B197" s="6">
        <v>24</v>
      </c>
      <c r="C197" s="2" t="s">
        <v>151</v>
      </c>
      <c r="D197" s="5">
        <f>8268316/1000</f>
        <v>8268.316</v>
      </c>
      <c r="E197" s="5">
        <v>257</v>
      </c>
      <c r="F197" s="5">
        <v>1160</v>
      </c>
      <c r="G197" s="5">
        <v>1592</v>
      </c>
      <c r="H197" s="5">
        <v>3265</v>
      </c>
      <c r="I197" s="5">
        <v>1364</v>
      </c>
      <c r="J197" s="5">
        <v>241</v>
      </c>
      <c r="K197" s="5"/>
      <c r="L197" s="5">
        <f>SUM(D197:K197)</f>
        <v>16147.316</v>
      </c>
      <c r="M197" s="3"/>
      <c r="N197" s="1"/>
    </row>
    <row r="198" spans="1:14" ht="12.75">
      <c r="A198" s="3"/>
      <c r="B198" s="6">
        <v>27</v>
      </c>
      <c r="C198" s="2" t="s">
        <v>152</v>
      </c>
      <c r="D198" s="5">
        <f>8790183/1000</f>
        <v>8790.183</v>
      </c>
      <c r="E198" s="5">
        <v>537</v>
      </c>
      <c r="F198" s="5">
        <v>1763</v>
      </c>
      <c r="G198" s="5">
        <v>1282</v>
      </c>
      <c r="H198" s="5">
        <v>3466</v>
      </c>
      <c r="I198" s="5">
        <v>1371</v>
      </c>
      <c r="J198" s="5">
        <f>237108/1000</f>
        <v>237.108</v>
      </c>
      <c r="K198" s="5"/>
      <c r="L198" s="5">
        <f>SUM(D198:K198)</f>
        <v>17446.291</v>
      </c>
      <c r="M198" s="3"/>
      <c r="N198" s="1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4" ht="12.75">
      <c r="A200" s="3"/>
      <c r="B200" s="3"/>
      <c r="C200" s="9" t="s">
        <v>153</v>
      </c>
      <c r="D200" s="5">
        <f aca="true" t="shared" si="31" ref="D200:J200">SUM(D202:D203)</f>
        <v>16816.503</v>
      </c>
      <c r="E200" s="5">
        <f t="shared" si="31"/>
        <v>1063</v>
      </c>
      <c r="F200" s="5">
        <f t="shared" si="31"/>
        <v>1844</v>
      </c>
      <c r="G200" s="5">
        <f t="shared" si="31"/>
        <v>1628</v>
      </c>
      <c r="H200" s="5">
        <f t="shared" si="31"/>
        <v>5241</v>
      </c>
      <c r="I200" s="5">
        <f t="shared" si="31"/>
        <v>4696</v>
      </c>
      <c r="J200" s="5">
        <f t="shared" si="31"/>
        <v>345.459</v>
      </c>
      <c r="K200" s="5"/>
      <c r="L200" s="5">
        <f>SUM(L202:L203)</f>
        <v>31633.962</v>
      </c>
      <c r="M200" s="3"/>
      <c r="N200" s="1"/>
    </row>
    <row r="201" spans="1:14" ht="12.75">
      <c r="A201" s="3"/>
      <c r="B201" s="3"/>
      <c r="C201" s="3"/>
      <c r="D201" s="5"/>
      <c r="E201" s="5"/>
      <c r="F201" s="5"/>
      <c r="G201" s="5"/>
      <c r="H201" s="5"/>
      <c r="I201" s="5"/>
      <c r="J201" s="5"/>
      <c r="K201" s="5"/>
      <c r="L201" s="5"/>
      <c r="M201" s="3"/>
      <c r="N201" s="1"/>
    </row>
    <row r="202" spans="1:14" ht="12.75">
      <c r="A202" s="3"/>
      <c r="B202" s="6">
        <v>18</v>
      </c>
      <c r="C202" s="2" t="s">
        <v>154</v>
      </c>
      <c r="D202" s="5">
        <f>14156283/1000</f>
        <v>14156.283</v>
      </c>
      <c r="E202" s="5">
        <v>798</v>
      </c>
      <c r="F202" s="5">
        <v>607</v>
      </c>
      <c r="G202" s="5">
        <v>720</v>
      </c>
      <c r="H202" s="5">
        <v>2190</v>
      </c>
      <c r="I202" s="5">
        <v>1716</v>
      </c>
      <c r="J202" s="5">
        <f>156725/1000</f>
        <v>156.725</v>
      </c>
      <c r="K202" s="5"/>
      <c r="L202" s="5">
        <f>SUM(D202:K202)</f>
        <v>20344.007999999998</v>
      </c>
      <c r="M202" s="3"/>
      <c r="N202" s="1"/>
    </row>
    <row r="203" spans="1:14" ht="12.75">
      <c r="A203" s="3"/>
      <c r="B203" s="6">
        <v>64</v>
      </c>
      <c r="C203" s="2" t="s">
        <v>155</v>
      </c>
      <c r="D203" s="5">
        <f>2660220/1000</f>
        <v>2660.22</v>
      </c>
      <c r="E203" s="5">
        <v>265</v>
      </c>
      <c r="F203" s="5">
        <v>1237</v>
      </c>
      <c r="G203" s="5">
        <v>908</v>
      </c>
      <c r="H203" s="5">
        <v>3051</v>
      </c>
      <c r="I203" s="5">
        <v>2980</v>
      </c>
      <c r="J203" s="5">
        <f>188734/1000</f>
        <v>188.734</v>
      </c>
      <c r="K203" s="5"/>
      <c r="L203" s="5">
        <f>SUM(D203:K203)</f>
        <v>11289.954</v>
      </c>
      <c r="M203" s="3"/>
      <c r="N203" s="1"/>
    </row>
    <row r="204" spans="1:14" ht="12.75">
      <c r="A204" s="3"/>
      <c r="B204" s="3"/>
      <c r="C204" s="3"/>
      <c r="D204" s="5"/>
      <c r="E204" s="5"/>
      <c r="F204" s="5"/>
      <c r="G204" s="5"/>
      <c r="H204" s="5"/>
      <c r="I204" s="5"/>
      <c r="J204" s="5"/>
      <c r="K204" s="5"/>
      <c r="L204" s="5"/>
      <c r="M204" s="3"/>
      <c r="N204" s="1"/>
    </row>
    <row r="205" spans="1:14" ht="12.75">
      <c r="A205" s="3"/>
      <c r="B205" s="3"/>
      <c r="C205" s="9" t="s">
        <v>156</v>
      </c>
      <c r="D205" s="5">
        <f aca="true" t="shared" si="32" ref="D205:J205">SUM(D207:D211)</f>
        <v>115258.221</v>
      </c>
      <c r="E205" s="5">
        <f t="shared" si="32"/>
        <v>5936</v>
      </c>
      <c r="F205" s="5">
        <f t="shared" si="32"/>
        <v>3875</v>
      </c>
      <c r="G205" s="5">
        <f t="shared" si="32"/>
        <v>5313</v>
      </c>
      <c r="H205" s="5">
        <f t="shared" si="32"/>
        <v>16790</v>
      </c>
      <c r="I205" s="5">
        <f t="shared" si="32"/>
        <v>11961</v>
      </c>
      <c r="J205" s="5">
        <f t="shared" si="32"/>
        <v>657.623</v>
      </c>
      <c r="K205" s="5"/>
      <c r="L205" s="5">
        <f>SUM(L207:L211)</f>
        <v>159790.84399999998</v>
      </c>
      <c r="M205" s="3"/>
      <c r="N205" s="1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4" ht="12.75">
      <c r="A207" s="3"/>
      <c r="B207" s="6">
        <v>19</v>
      </c>
      <c r="C207" s="2" t="s">
        <v>157</v>
      </c>
      <c r="D207" s="5">
        <f>42653882/1000</f>
        <v>42653.882</v>
      </c>
      <c r="E207" s="5">
        <v>2331</v>
      </c>
      <c r="F207" s="5">
        <v>690</v>
      </c>
      <c r="G207" s="5">
        <v>394</v>
      </c>
      <c r="H207" s="5">
        <v>4122</v>
      </c>
      <c r="I207" s="5">
        <v>2200</v>
      </c>
      <c r="J207" s="5">
        <f>146633/1000</f>
        <v>146.633</v>
      </c>
      <c r="K207" s="5"/>
      <c r="L207" s="5">
        <f>SUM(D207:K207)</f>
        <v>52537.515</v>
      </c>
      <c r="M207" s="3"/>
      <c r="N207" s="1"/>
    </row>
    <row r="208" spans="1:14" ht="12.75">
      <c r="A208" s="3"/>
      <c r="B208" s="6">
        <v>69</v>
      </c>
      <c r="C208" s="2" t="s">
        <v>158</v>
      </c>
      <c r="D208" s="5">
        <f>10066349/1000</f>
        <v>10066.349</v>
      </c>
      <c r="E208" s="5">
        <v>459</v>
      </c>
      <c r="F208" s="5">
        <v>218</v>
      </c>
      <c r="G208" s="5">
        <v>248</v>
      </c>
      <c r="H208" s="5">
        <v>2182</v>
      </c>
      <c r="I208" s="5">
        <v>1471</v>
      </c>
      <c r="J208" s="5">
        <f>45112/1000</f>
        <v>45.112</v>
      </c>
      <c r="K208" s="5"/>
      <c r="L208" s="5">
        <f>SUM(D208:K208)</f>
        <v>14689.461</v>
      </c>
      <c r="M208" s="3"/>
      <c r="N208" s="1"/>
    </row>
    <row r="209" spans="1:14" ht="12.75">
      <c r="A209" s="3"/>
      <c r="B209" s="6">
        <v>70</v>
      </c>
      <c r="C209" s="2" t="s">
        <v>159</v>
      </c>
      <c r="D209" s="5">
        <f>23441034/1000</f>
        <v>23441.034</v>
      </c>
      <c r="E209" s="5">
        <v>883</v>
      </c>
      <c r="F209" s="5">
        <v>986</v>
      </c>
      <c r="G209" s="5">
        <v>699</v>
      </c>
      <c r="H209" s="5">
        <v>2631</v>
      </c>
      <c r="I209" s="5">
        <v>698</v>
      </c>
      <c r="J209" s="5">
        <f>112619/1000</f>
        <v>112.619</v>
      </c>
      <c r="K209" s="5"/>
      <c r="L209" s="5">
        <f>SUM(D209:K209)</f>
        <v>29450.653</v>
      </c>
      <c r="M209" s="3"/>
      <c r="N209" s="1"/>
    </row>
    <row r="210" spans="1:14" ht="12.75">
      <c r="A210" s="3"/>
      <c r="B210" s="6">
        <v>99</v>
      </c>
      <c r="C210" s="2" t="s">
        <v>160</v>
      </c>
      <c r="D210" s="5">
        <f>14264888/1000</f>
        <v>14264.888</v>
      </c>
      <c r="E210" s="5">
        <v>1553</v>
      </c>
      <c r="F210" s="5">
        <v>710</v>
      </c>
      <c r="G210" s="5">
        <v>2655</v>
      </c>
      <c r="H210" s="5">
        <v>4660</v>
      </c>
      <c r="I210" s="5">
        <v>4983</v>
      </c>
      <c r="J210" s="5">
        <f>173662/1000</f>
        <v>173.662</v>
      </c>
      <c r="K210" s="5"/>
      <c r="L210" s="5">
        <f>SUM(D210:K210)</f>
        <v>28999.55</v>
      </c>
      <c r="M210" s="3"/>
      <c r="N210" s="1"/>
    </row>
    <row r="211" spans="1:14" ht="12.75">
      <c r="A211" s="3"/>
      <c r="B211" s="6">
        <v>106</v>
      </c>
      <c r="C211" s="2" t="s">
        <v>161</v>
      </c>
      <c r="D211" s="5">
        <f>24832068/1000</f>
        <v>24832.068</v>
      </c>
      <c r="E211" s="5">
        <v>710</v>
      </c>
      <c r="F211" s="5">
        <v>1271</v>
      </c>
      <c r="G211" s="5">
        <v>1317</v>
      </c>
      <c r="H211" s="5">
        <v>3195</v>
      </c>
      <c r="I211" s="5">
        <v>2609</v>
      </c>
      <c r="J211" s="5">
        <f>179597/1000</f>
        <v>179.597</v>
      </c>
      <c r="K211" s="5"/>
      <c r="L211" s="5">
        <f>SUM(D211:K211)</f>
        <v>34113.665</v>
      </c>
      <c r="M211" s="5"/>
      <c r="N211" s="1"/>
    </row>
    <row r="212" spans="1:14" ht="12.75">
      <c r="A212" s="3"/>
      <c r="B212" s="3"/>
      <c r="C212" s="3"/>
      <c r="D212" s="5"/>
      <c r="E212" s="5"/>
      <c r="F212" s="5"/>
      <c r="G212" s="5"/>
      <c r="H212" s="5"/>
      <c r="I212" s="5"/>
      <c r="J212" s="5"/>
      <c r="K212" s="5"/>
      <c r="L212" s="5"/>
      <c r="M212" s="3"/>
      <c r="N212" s="1"/>
    </row>
    <row r="213" spans="1:14" ht="12.75">
      <c r="A213" s="3"/>
      <c r="B213" s="3"/>
      <c r="C213" s="9" t="s">
        <v>162</v>
      </c>
      <c r="D213" s="5">
        <f aca="true" t="shared" si="33" ref="D213:J213">SUM(D215:D217)</f>
        <v>15745.595999999998</v>
      </c>
      <c r="E213" s="5">
        <f t="shared" si="33"/>
        <v>1869</v>
      </c>
      <c r="F213" s="5">
        <f t="shared" si="33"/>
        <v>4262</v>
      </c>
      <c r="G213" s="5">
        <f t="shared" si="33"/>
        <v>9294</v>
      </c>
      <c r="H213" s="5">
        <f t="shared" si="33"/>
        <v>17248</v>
      </c>
      <c r="I213" s="5">
        <f t="shared" si="33"/>
        <v>8378</v>
      </c>
      <c r="J213" s="5">
        <f t="shared" si="33"/>
        <v>1177</v>
      </c>
      <c r="K213" s="5"/>
      <c r="L213" s="5">
        <f>SUM(L215:L217)</f>
        <v>57973.596000000005</v>
      </c>
      <c r="M213" s="3"/>
      <c r="N213" s="1"/>
    </row>
    <row r="214" spans="1:14" ht="12.75">
      <c r="A214" s="3"/>
      <c r="B214" s="3"/>
      <c r="C214" s="3"/>
      <c r="D214" s="5"/>
      <c r="E214" s="5"/>
      <c r="F214" s="5"/>
      <c r="G214" s="5"/>
      <c r="H214" s="5"/>
      <c r="I214" s="5"/>
      <c r="J214" s="5"/>
      <c r="K214" s="5"/>
      <c r="L214" s="5"/>
      <c r="M214" s="3"/>
      <c r="N214" s="1"/>
    </row>
    <row r="215" spans="1:14" ht="12.75">
      <c r="A215" s="3"/>
      <c r="B215" s="6">
        <v>21</v>
      </c>
      <c r="C215" s="2" t="s">
        <v>163</v>
      </c>
      <c r="D215" s="5">
        <f>4103440/1000</f>
        <v>4103.44</v>
      </c>
      <c r="E215" s="5">
        <v>657</v>
      </c>
      <c r="F215" s="5">
        <v>649</v>
      </c>
      <c r="G215" s="5">
        <v>1447</v>
      </c>
      <c r="H215" s="5">
        <v>2641</v>
      </c>
      <c r="I215" s="5">
        <v>1592</v>
      </c>
      <c r="J215" s="5">
        <v>241</v>
      </c>
      <c r="K215" s="5"/>
      <c r="L215" s="5">
        <f>SUM(D215:K215)</f>
        <v>11330.439999999999</v>
      </c>
      <c r="M215" s="3"/>
      <c r="N215" s="1"/>
    </row>
    <row r="216" spans="1:14" ht="12.75">
      <c r="A216" s="3"/>
      <c r="B216" s="6">
        <v>60</v>
      </c>
      <c r="C216" s="2" t="s">
        <v>164</v>
      </c>
      <c r="D216" s="5">
        <f>2691955/1000</f>
        <v>2691.955</v>
      </c>
      <c r="E216" s="5">
        <v>473</v>
      </c>
      <c r="F216" s="5">
        <v>1488</v>
      </c>
      <c r="G216" s="5">
        <v>4322</v>
      </c>
      <c r="H216" s="5">
        <v>7153</v>
      </c>
      <c r="I216" s="5">
        <v>2324</v>
      </c>
      <c r="J216" s="5">
        <v>380</v>
      </c>
      <c r="K216" s="5"/>
      <c r="L216" s="5">
        <f>SUM(D216:K216)</f>
        <v>18831.955</v>
      </c>
      <c r="M216" s="3"/>
      <c r="N216" s="1"/>
    </row>
    <row r="217" spans="1:14" ht="12.75">
      <c r="A217" s="3"/>
      <c r="B217" s="6">
        <v>61</v>
      </c>
      <c r="C217" s="2" t="s">
        <v>165</v>
      </c>
      <c r="D217" s="5">
        <f>8950201/1000</f>
        <v>8950.201</v>
      </c>
      <c r="E217" s="5">
        <v>739</v>
      </c>
      <c r="F217" s="5">
        <v>2125</v>
      </c>
      <c r="G217" s="5">
        <v>3525</v>
      </c>
      <c r="H217" s="5">
        <v>7454</v>
      </c>
      <c r="I217" s="5">
        <v>4462</v>
      </c>
      <c r="J217" s="5">
        <v>556</v>
      </c>
      <c r="K217" s="5"/>
      <c r="L217" s="5">
        <f>SUM(D217:K217)</f>
        <v>27811.201</v>
      </c>
      <c r="M217" s="3"/>
      <c r="N217" s="1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4" ht="12.75">
      <c r="A219" s="3"/>
      <c r="B219" s="3"/>
      <c r="C219" s="9" t="s">
        <v>166</v>
      </c>
      <c r="D219" s="5">
        <f aca="true" t="shared" si="34" ref="D219:J219">D221</f>
        <v>12516.757</v>
      </c>
      <c r="E219" s="5">
        <f t="shared" si="34"/>
        <v>3150</v>
      </c>
      <c r="F219" s="5">
        <f t="shared" si="34"/>
        <v>2741</v>
      </c>
      <c r="G219" s="5">
        <f t="shared" si="34"/>
        <v>4477</v>
      </c>
      <c r="H219" s="5">
        <f t="shared" si="34"/>
        <v>8659</v>
      </c>
      <c r="I219" s="5">
        <f t="shared" si="34"/>
        <v>4392</v>
      </c>
      <c r="J219" s="5">
        <f t="shared" si="34"/>
        <v>3643</v>
      </c>
      <c r="K219" s="5"/>
      <c r="L219" s="5">
        <f>SUM(D219:K219)</f>
        <v>39578.757</v>
      </c>
      <c r="M219" s="5"/>
      <c r="N219" s="1"/>
    </row>
    <row r="220" spans="1:14" ht="12.75">
      <c r="A220" s="3"/>
      <c r="B220" s="3"/>
      <c r="C220" s="3"/>
      <c r="D220" s="5"/>
      <c r="E220" s="5"/>
      <c r="F220" s="5"/>
      <c r="G220" s="5"/>
      <c r="H220" s="5"/>
      <c r="I220" s="5"/>
      <c r="J220" s="5"/>
      <c r="K220" s="5"/>
      <c r="L220" s="5"/>
      <c r="M220" s="3"/>
      <c r="N220" s="1"/>
    </row>
    <row r="221" spans="1:14" ht="12.75">
      <c r="A221" s="3"/>
      <c r="B221" s="6">
        <v>129</v>
      </c>
      <c r="C221" s="2" t="s">
        <v>167</v>
      </c>
      <c r="D221" s="5">
        <f>12516757/1000</f>
        <v>12516.757</v>
      </c>
      <c r="E221" s="5">
        <v>3150</v>
      </c>
      <c r="F221" s="5">
        <v>2741</v>
      </c>
      <c r="G221" s="5">
        <v>4477</v>
      </c>
      <c r="H221" s="5">
        <v>8659</v>
      </c>
      <c r="I221" s="5">
        <v>4392</v>
      </c>
      <c r="J221" s="5">
        <v>3643</v>
      </c>
      <c r="K221" s="5"/>
      <c r="L221" s="5">
        <f>SUM(D221:K221)</f>
        <v>39578.757</v>
      </c>
      <c r="M221" s="3"/>
      <c r="N221" s="1"/>
    </row>
    <row r="222" spans="1:14" ht="12.75">
      <c r="A222" s="3"/>
      <c r="B222" s="3"/>
      <c r="C222" s="3"/>
      <c r="D222" s="5"/>
      <c r="E222" s="5"/>
      <c r="F222" s="5"/>
      <c r="G222" s="5"/>
      <c r="H222" s="5"/>
      <c r="I222" s="5"/>
      <c r="J222" s="5"/>
      <c r="K222" s="5"/>
      <c r="L222" s="5"/>
      <c r="M222" s="3"/>
      <c r="N222" s="1"/>
    </row>
    <row r="223" spans="1:14" ht="12.75">
      <c r="A223" s="3"/>
      <c r="B223" s="3"/>
      <c r="C223" s="9" t="s">
        <v>168</v>
      </c>
      <c r="D223" s="5">
        <f aca="true" t="shared" si="35" ref="D223:J223">SUM(D225:D226)</f>
        <v>30354.259</v>
      </c>
      <c r="E223" s="5">
        <f t="shared" si="35"/>
        <v>605</v>
      </c>
      <c r="F223" s="5">
        <f t="shared" si="35"/>
        <v>528</v>
      </c>
      <c r="G223" s="5">
        <f t="shared" si="35"/>
        <v>1117</v>
      </c>
      <c r="H223" s="5">
        <f t="shared" si="35"/>
        <v>3420</v>
      </c>
      <c r="I223" s="5">
        <f t="shared" si="35"/>
        <v>2564</v>
      </c>
      <c r="J223" s="5">
        <f t="shared" si="35"/>
        <v>184</v>
      </c>
      <c r="K223" s="5"/>
      <c r="L223" s="5">
        <f>SUM(L225:L226)</f>
        <v>38772.259</v>
      </c>
      <c r="M223" s="3"/>
      <c r="N223" s="1"/>
    </row>
    <row r="224" spans="1:14" ht="12.75">
      <c r="A224" s="3"/>
      <c r="B224" s="3"/>
      <c r="C224" s="3"/>
      <c r="D224" s="5"/>
      <c r="E224" s="5"/>
      <c r="F224" s="5"/>
      <c r="G224" s="5"/>
      <c r="H224" s="5"/>
      <c r="I224" s="5"/>
      <c r="J224" s="5"/>
      <c r="K224" s="5"/>
      <c r="L224" s="5"/>
      <c r="M224" s="3"/>
      <c r="N224" s="1"/>
    </row>
    <row r="225" spans="1:14" ht="12.75">
      <c r="A225" s="3"/>
      <c r="B225" s="6">
        <v>23</v>
      </c>
      <c r="C225" s="2" t="s">
        <v>169</v>
      </c>
      <c r="D225" s="5">
        <f>8164551/1000</f>
        <v>8164.551</v>
      </c>
      <c r="E225" s="5">
        <v>283</v>
      </c>
      <c r="F225" s="5">
        <v>460</v>
      </c>
      <c r="G225" s="5">
        <v>1083</v>
      </c>
      <c r="H225" s="5">
        <v>2550</v>
      </c>
      <c r="I225" s="5">
        <v>2011</v>
      </c>
      <c r="J225" s="5">
        <v>149</v>
      </c>
      <c r="K225" s="5"/>
      <c r="L225" s="5">
        <f>SUM(D225:K225)</f>
        <v>14700.551</v>
      </c>
      <c r="M225" s="3"/>
      <c r="N225" s="1"/>
    </row>
    <row r="226" spans="1:14" ht="12.75">
      <c r="A226" s="3"/>
      <c r="B226" s="6">
        <v>130</v>
      </c>
      <c r="C226" s="2" t="s">
        <v>169</v>
      </c>
      <c r="D226" s="5">
        <f>22189708/1000</f>
        <v>22189.708</v>
      </c>
      <c r="E226" s="5">
        <v>322</v>
      </c>
      <c r="F226" s="5">
        <v>68</v>
      </c>
      <c r="G226" s="5">
        <v>34</v>
      </c>
      <c r="H226" s="5">
        <v>870</v>
      </c>
      <c r="I226" s="5">
        <v>553</v>
      </c>
      <c r="J226" s="5">
        <v>35</v>
      </c>
      <c r="K226" s="5"/>
      <c r="L226" s="5">
        <f>SUM(D226:K226)</f>
        <v>24071.708</v>
      </c>
      <c r="M226" s="3"/>
      <c r="N226" s="1"/>
    </row>
    <row r="227" spans="1:14" ht="12.75">
      <c r="A227" s="3"/>
      <c r="B227" s="3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3"/>
      <c r="N227" s="1"/>
    </row>
    <row r="228" spans="1:14" ht="12.75">
      <c r="A228" s="3"/>
      <c r="B228" s="3"/>
      <c r="C228" s="9" t="s">
        <v>170</v>
      </c>
      <c r="D228" s="5">
        <f aca="true" t="shared" si="36" ref="D228:J228">SUM(D230:D232)</f>
        <v>24092.090999999997</v>
      </c>
      <c r="E228" s="5">
        <f t="shared" si="36"/>
        <v>1222</v>
      </c>
      <c r="F228" s="5">
        <f t="shared" si="36"/>
        <v>1050</v>
      </c>
      <c r="G228" s="5">
        <f t="shared" si="36"/>
        <v>1650</v>
      </c>
      <c r="H228" s="5">
        <f t="shared" si="36"/>
        <v>4566</v>
      </c>
      <c r="I228" s="5">
        <f t="shared" si="36"/>
        <v>2456</v>
      </c>
      <c r="J228" s="5">
        <f t="shared" si="36"/>
        <v>188</v>
      </c>
      <c r="K228" s="5"/>
      <c r="L228" s="5">
        <f>SUM(L230:L232)</f>
        <v>35224.091</v>
      </c>
      <c r="M228" s="3"/>
      <c r="N228" s="1"/>
    </row>
    <row r="229" spans="1:14" ht="12.75">
      <c r="A229" s="3"/>
      <c r="B229" s="3"/>
      <c r="C229" s="3"/>
      <c r="D229" s="5"/>
      <c r="E229" s="5"/>
      <c r="F229" s="5"/>
      <c r="G229" s="5"/>
      <c r="H229" s="5"/>
      <c r="I229" s="5"/>
      <c r="J229" s="5"/>
      <c r="K229" s="5"/>
      <c r="L229" s="5"/>
      <c r="M229" s="3"/>
      <c r="N229" s="1"/>
    </row>
    <row r="230" spans="1:14" ht="12.75">
      <c r="A230" s="3"/>
      <c r="B230" s="7" t="s">
        <v>171</v>
      </c>
      <c r="C230" s="2" t="s">
        <v>172</v>
      </c>
      <c r="D230" s="5">
        <f>10024076/1000</f>
        <v>10024.076</v>
      </c>
      <c r="E230" s="5">
        <v>421</v>
      </c>
      <c r="F230" s="5">
        <v>237</v>
      </c>
      <c r="G230" s="5">
        <v>488</v>
      </c>
      <c r="H230" s="5">
        <v>1064</v>
      </c>
      <c r="I230" s="5">
        <v>531</v>
      </c>
      <c r="J230" s="5">
        <v>35</v>
      </c>
      <c r="K230" s="5"/>
      <c r="L230" s="5">
        <f>SUM(D230:K230)</f>
        <v>12800.076</v>
      </c>
      <c r="M230" s="3"/>
      <c r="N230" s="1"/>
    </row>
    <row r="231" spans="1:14" ht="12.75">
      <c r="A231" s="3"/>
      <c r="B231" s="6">
        <v>37</v>
      </c>
      <c r="C231" s="2" t="s">
        <v>173</v>
      </c>
      <c r="D231" s="5">
        <f>8267480/1000</f>
        <v>8267.48</v>
      </c>
      <c r="E231" s="5">
        <v>288</v>
      </c>
      <c r="F231" s="5">
        <v>730</v>
      </c>
      <c r="G231" s="5">
        <v>1109</v>
      </c>
      <c r="H231" s="5">
        <v>3108</v>
      </c>
      <c r="I231" s="5">
        <v>1791</v>
      </c>
      <c r="J231" s="5">
        <v>141</v>
      </c>
      <c r="K231" s="5"/>
      <c r="L231" s="5">
        <f>SUM(D231:K231)</f>
        <v>15434.48</v>
      </c>
      <c r="M231" s="5"/>
      <c r="N231" s="1"/>
    </row>
    <row r="232" spans="1:14" ht="12.75">
      <c r="A232" s="3"/>
      <c r="B232" s="6">
        <v>131</v>
      </c>
      <c r="C232" s="2" t="s">
        <v>172</v>
      </c>
      <c r="D232" s="5">
        <f>5800535/1000</f>
        <v>5800.535</v>
      </c>
      <c r="E232" s="5">
        <v>513</v>
      </c>
      <c r="F232" s="5">
        <v>83</v>
      </c>
      <c r="G232" s="5">
        <v>53</v>
      </c>
      <c r="H232" s="5">
        <v>394</v>
      </c>
      <c r="I232" s="5">
        <v>134</v>
      </c>
      <c r="J232" s="5">
        <v>12</v>
      </c>
      <c r="K232" s="5"/>
      <c r="L232" s="5">
        <f>SUM(D232:K232)</f>
        <v>6989.535</v>
      </c>
      <c r="M232" s="5"/>
      <c r="N232" s="1"/>
    </row>
    <row r="233" spans="1:13" ht="12.75">
      <c r="A233" s="3"/>
      <c r="B233" s="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12.75">
      <c r="A234" s="3"/>
      <c r="B234" s="2" t="s">
        <v>52</v>
      </c>
      <c r="C234" s="8"/>
      <c r="D234" s="10"/>
      <c r="E234" s="10"/>
      <c r="F234" s="10"/>
      <c r="G234" s="5"/>
      <c r="H234" s="5"/>
      <c r="I234" s="5"/>
      <c r="J234" s="5"/>
      <c r="K234" s="5"/>
      <c r="L234" s="5"/>
      <c r="M234" s="3"/>
    </row>
    <row r="235" spans="1:13" ht="12.75">
      <c r="A235" s="3"/>
      <c r="B235" s="8"/>
      <c r="C235" s="8"/>
      <c r="D235" s="10"/>
      <c r="E235" s="10"/>
      <c r="F235" s="10"/>
      <c r="G235" s="5"/>
      <c r="H235" s="5"/>
      <c r="I235" s="5"/>
      <c r="J235" s="5"/>
      <c r="K235" s="5"/>
      <c r="L235" s="5"/>
      <c r="M235" s="3"/>
    </row>
    <row r="236" spans="1:13" ht="12.75">
      <c r="A236" s="3"/>
      <c r="B236" s="3"/>
      <c r="C236" s="3"/>
      <c r="D236" s="5"/>
      <c r="E236" s="5"/>
      <c r="F236" s="5"/>
      <c r="G236" s="5"/>
      <c r="H236" s="5"/>
      <c r="I236" s="5"/>
      <c r="J236" s="5"/>
      <c r="K236" s="5"/>
      <c r="L236" s="5"/>
      <c r="M236" s="3"/>
    </row>
    <row r="237" spans="1:13" ht="12.75">
      <c r="A237" s="3"/>
      <c r="B237" s="3"/>
      <c r="C237" s="3"/>
      <c r="D237" s="5"/>
      <c r="E237" s="5"/>
      <c r="F237" s="5"/>
      <c r="G237" s="5"/>
      <c r="H237" s="5"/>
      <c r="I237" s="5"/>
      <c r="J237" s="5"/>
      <c r="K237" s="5"/>
      <c r="L237" s="5"/>
      <c r="M237" s="3"/>
    </row>
    <row r="238" spans="1:13" ht="12.75">
      <c r="A238" s="3"/>
      <c r="B238" s="3"/>
      <c r="C238" s="3"/>
      <c r="D238" s="5"/>
      <c r="E238" s="5"/>
      <c r="F238" s="5"/>
      <c r="G238" s="5"/>
      <c r="H238" s="5"/>
      <c r="I238" s="5"/>
      <c r="J238" s="5"/>
      <c r="K238" s="5"/>
      <c r="L238" s="5"/>
      <c r="M238" s="3"/>
    </row>
    <row r="239" spans="1:13" ht="12.75">
      <c r="A239" s="3"/>
      <c r="B239" s="3"/>
      <c r="C239" s="3"/>
      <c r="D239" s="5"/>
      <c r="E239" s="5"/>
      <c r="F239" s="5"/>
      <c r="G239" s="5"/>
      <c r="H239" s="5"/>
      <c r="I239" s="5"/>
      <c r="J239" s="5"/>
      <c r="K239" s="5"/>
      <c r="L239" s="5"/>
      <c r="M239" s="3"/>
    </row>
    <row r="240" spans="1:13" ht="12.75">
      <c r="A240" s="3"/>
      <c r="B240" s="3"/>
      <c r="C240" s="3"/>
      <c r="D240" s="5"/>
      <c r="E240" s="5"/>
      <c r="F240" s="5"/>
      <c r="G240" s="5"/>
      <c r="H240" s="5"/>
      <c r="I240" s="5"/>
      <c r="J240" s="5"/>
      <c r="K240" s="5"/>
      <c r="L240" s="5"/>
      <c r="M240" s="3"/>
    </row>
    <row r="241" spans="1:13" ht="12.75">
      <c r="A241" s="3"/>
      <c r="B241" s="3"/>
      <c r="C241" s="3"/>
      <c r="D241" s="5"/>
      <c r="E241" s="5"/>
      <c r="F241" s="5"/>
      <c r="G241" s="5"/>
      <c r="H241" s="5"/>
      <c r="I241" s="5"/>
      <c r="J241" s="5"/>
      <c r="K241" s="5"/>
      <c r="L241" s="5"/>
      <c r="M241" s="3"/>
    </row>
    <row r="242" spans="1:13" ht="12.75">
      <c r="A242" s="3"/>
      <c r="B242" s="3"/>
      <c r="C242" s="3"/>
      <c r="D242" s="5"/>
      <c r="E242" s="5"/>
      <c r="F242" s="5"/>
      <c r="G242" s="5"/>
      <c r="H242" s="5"/>
      <c r="I242" s="5"/>
      <c r="J242" s="5"/>
      <c r="K242" s="5"/>
      <c r="L242" s="5"/>
      <c r="M242" s="3"/>
    </row>
    <row r="243" spans="1:13" ht="12.75">
      <c r="A243" s="3"/>
      <c r="B243" s="3"/>
      <c r="C243" s="3"/>
      <c r="D243" s="5"/>
      <c r="E243" s="5"/>
      <c r="F243" s="5"/>
      <c r="G243" s="5"/>
      <c r="H243" s="5"/>
      <c r="I243" s="5"/>
      <c r="J243" s="5"/>
      <c r="K243" s="5"/>
      <c r="L243" s="5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</sheetData>
  <mergeCells count="3">
    <mergeCell ref="B2:M2"/>
    <mergeCell ref="B4:M4"/>
    <mergeCell ref="B5:M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2004-02-24T23:41:01Z</cp:lastPrinted>
  <dcterms:created xsi:type="dcterms:W3CDTF">2004-02-12T18:05:11Z</dcterms:created>
  <dcterms:modified xsi:type="dcterms:W3CDTF">2005-05-25T20:22:44Z</dcterms:modified>
  <cp:category/>
  <cp:version/>
  <cp:contentType/>
  <cp:contentStatus/>
</cp:coreProperties>
</file>