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TIEN502" sheetId="1" r:id="rId1"/>
  </sheets>
  <definedNames>
    <definedName name="_Regression_Int" localSheetId="0" hidden="1">1</definedName>
    <definedName name="_xlnm.Print_Area" localSheetId="0">'TIEN502'!$A$14:$K$382</definedName>
    <definedName name="Imprimir_área_IM" localSheetId="0">'TIEN502'!$A$14:$K$382</definedName>
    <definedName name="Imprimir_títulos_IM" localSheetId="0">'TIEN502'!$1:$13</definedName>
    <definedName name="PRINT_AREA_MI">#REF!</definedName>
    <definedName name="_xlnm.Print_Titles">'TIEN502'!$A$1:$HN$13</definedName>
    <definedName name="PRINT_TITLES_MI">'TIEN502'!$A$1:$HN$13</definedName>
    <definedName name="_xlnm.Print_Titles" localSheetId="0">'TIEN502'!$1:$13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<sst xmlns="http://schemas.openxmlformats.org/spreadsheetml/2006/main" count="426" uniqueCount="384">
  <si>
    <t>ANUARIO ESTADISTICO 2001</t>
  </si>
  <si>
    <t>5. 2  VENTAS POR TIENDA Y LINEA AL 31 DE DICIEMBRE DE 2001</t>
  </si>
  <si>
    <t>------------------------------------------------------------------------------------------------------------------------------------</t>
  </si>
  <si>
    <t>I</t>
  </si>
  <si>
    <t>II</t>
  </si>
  <si>
    <t>III</t>
  </si>
  <si>
    <t>IV</t>
  </si>
  <si>
    <t>V</t>
  </si>
  <si>
    <t>VI</t>
  </si>
  <si>
    <t>VII</t>
  </si>
  <si>
    <t>VIII</t>
  </si>
  <si>
    <t>ABARROTES</t>
  </si>
  <si>
    <t>MERCANCIAS</t>
  </si>
  <si>
    <t>PERFUMERIA</t>
  </si>
  <si>
    <t>ROPA</t>
  </si>
  <si>
    <t>SALCHICHO-</t>
  </si>
  <si>
    <t>VINOS</t>
  </si>
  <si>
    <t>TIENDA</t>
  </si>
  <si>
    <t>COMESTIBLES</t>
  </si>
  <si>
    <t>NO</t>
  </si>
  <si>
    <t>GENERALES</t>
  </si>
  <si>
    <t>Y</t>
  </si>
  <si>
    <t>NERIA</t>
  </si>
  <si>
    <t xml:space="preserve"> NUM.</t>
  </si>
  <si>
    <t>BASICOS</t>
  </si>
  <si>
    <t>NO BASICOS</t>
  </si>
  <si>
    <t>REGALOS</t>
  </si>
  <si>
    <t>FARMACIA</t>
  </si>
  <si>
    <t>Y LACTEOS</t>
  </si>
  <si>
    <t>LICORES</t>
  </si>
  <si>
    <t>T O T A L</t>
  </si>
  <si>
    <t>AGUASCALIENTES</t>
  </si>
  <si>
    <t>AGUASCALIENTES, AGS.</t>
  </si>
  <si>
    <t>PABELLON DE ARTEAGA</t>
  </si>
  <si>
    <t>OJO DE AGUA</t>
  </si>
  <si>
    <t>BAJA CALIFORNIA</t>
  </si>
  <si>
    <t>080</t>
  </si>
  <si>
    <t>ENSENADA</t>
  </si>
  <si>
    <t xml:space="preserve">TIJUANA </t>
  </si>
  <si>
    <t>MEXICALI</t>
  </si>
  <si>
    <t>TECATE</t>
  </si>
  <si>
    <t>SAN QUINTIN</t>
  </si>
  <si>
    <t>MESA DE OTAY</t>
  </si>
  <si>
    <t>BAJA CALIFORNIA SUR</t>
  </si>
  <si>
    <t>051</t>
  </si>
  <si>
    <t>LA PAZ</t>
  </si>
  <si>
    <t>CD. CONSTITUCION</t>
  </si>
  <si>
    <t>STA. ROSALIA</t>
  </si>
  <si>
    <t>SAN JOSE DEL CABO</t>
  </si>
  <si>
    <t>LORETO</t>
  </si>
  <si>
    <t>217</t>
  </si>
  <si>
    <t>TODOS SANTOS *</t>
  </si>
  <si>
    <t>CABO SAN LUCAS</t>
  </si>
  <si>
    <t>GUERRERO NEGRO</t>
  </si>
  <si>
    <t>CAMPECHE</t>
  </si>
  <si>
    <t>037</t>
  </si>
  <si>
    <t>CAMPECHE, CAMP.</t>
  </si>
  <si>
    <t>095</t>
  </si>
  <si>
    <t>CD. DEL CARMEN</t>
  </si>
  <si>
    <t>ESCARCEGA</t>
  </si>
  <si>
    <t>CALKINI</t>
  </si>
  <si>
    <t>COAHUILA</t>
  </si>
  <si>
    <t>008</t>
  </si>
  <si>
    <t>TORREON</t>
  </si>
  <si>
    <t>023</t>
  </si>
  <si>
    <t>SALTILLO</t>
  </si>
  <si>
    <t>091</t>
  </si>
  <si>
    <t>PIEDRAS NEGRAS</t>
  </si>
  <si>
    <t>*) UNIDAD EN PROCESO DE REHABILITACION</t>
  </si>
  <si>
    <t>NOTA: DEBIDO AL REDONDEO DE CIFRAS, LAS SUMAS PARCIALES NO COINCIDEN CON EL TOTAL.</t>
  </si>
  <si>
    <t>MONCLOVA</t>
  </si>
  <si>
    <t>SABINAS</t>
  </si>
  <si>
    <t>CD. ACUÑA</t>
  </si>
  <si>
    <t>PARRAS DE LA FUENTE</t>
  </si>
  <si>
    <t>CUATRO CIENEGAS</t>
  </si>
  <si>
    <t>CD. ALLENDE</t>
  </si>
  <si>
    <t>COLIMA</t>
  </si>
  <si>
    <t>054</t>
  </si>
  <si>
    <t>COLIMA, COL.</t>
  </si>
  <si>
    <t>MANZANILLO</t>
  </si>
  <si>
    <t>CHIAPAS</t>
  </si>
  <si>
    <t>033</t>
  </si>
  <si>
    <t>TUXTLA GUTIERREZ</t>
  </si>
  <si>
    <t>042</t>
  </si>
  <si>
    <t>SAN CRISTOBAL DE LAS C.</t>
  </si>
  <si>
    <t>055</t>
  </si>
  <si>
    <t>TAPACHULA</t>
  </si>
  <si>
    <t>078</t>
  </si>
  <si>
    <t>COMITAN</t>
  </si>
  <si>
    <t>OCOSINGO</t>
  </si>
  <si>
    <t>PICHUCALCO</t>
  </si>
  <si>
    <t>TONALA</t>
  </si>
  <si>
    <t>MOTOZINTLA</t>
  </si>
  <si>
    <t>PALENQUE</t>
  </si>
  <si>
    <t>CHIHUAHUA</t>
  </si>
  <si>
    <t>053</t>
  </si>
  <si>
    <t>CD. DELICIAS</t>
  </si>
  <si>
    <t>065</t>
  </si>
  <si>
    <t>CD. JUAREZ</t>
  </si>
  <si>
    <t>087</t>
  </si>
  <si>
    <t>CD. CUAUHTEMOC</t>
  </si>
  <si>
    <t>088</t>
  </si>
  <si>
    <t>PARRAL</t>
  </si>
  <si>
    <t>OJINAGA</t>
  </si>
  <si>
    <t>CD. CAMARGO</t>
  </si>
  <si>
    <t>CD. JIMENEZ</t>
  </si>
  <si>
    <t>CHIHUAHUA, CHIH.</t>
  </si>
  <si>
    <t>NUEVO CASAS GRANDES</t>
  </si>
  <si>
    <t>CD. MADERA</t>
  </si>
  <si>
    <t>VILLA ALDAMA</t>
  </si>
  <si>
    <t xml:space="preserve">DISTRITO FEDERAL    </t>
  </si>
  <si>
    <t>001</t>
  </si>
  <si>
    <t>NAPOLES</t>
  </si>
  <si>
    <t>002</t>
  </si>
  <si>
    <t>TACUBAYA</t>
  </si>
  <si>
    <t>004</t>
  </si>
  <si>
    <t>COYOACAN</t>
  </si>
  <si>
    <t>005</t>
  </si>
  <si>
    <t>MELCHOR OCAMPO</t>
  </si>
  <si>
    <t>007</t>
  </si>
  <si>
    <t>CORUÑA</t>
  </si>
  <si>
    <t>010</t>
  </si>
  <si>
    <t>SADI CARNOT</t>
  </si>
  <si>
    <t>011</t>
  </si>
  <si>
    <t>PELUQUEROS</t>
  </si>
  <si>
    <t>022</t>
  </si>
  <si>
    <t>BALBUENA</t>
  </si>
  <si>
    <t>060</t>
  </si>
  <si>
    <t>DOCTORES</t>
  </si>
  <si>
    <t>093</t>
  </si>
  <si>
    <t>PANTACO    *</t>
  </si>
  <si>
    <t>RICARDO FLORES MAGON</t>
  </si>
  <si>
    <t xml:space="preserve">VILLA COAPA        </t>
  </si>
  <si>
    <t>TAJIN</t>
  </si>
  <si>
    <t>TICOMAN</t>
  </si>
  <si>
    <t>ZARAGOZA</t>
  </si>
  <si>
    <t>TEPEPAN</t>
  </si>
  <si>
    <t>VERTIZ</t>
  </si>
  <si>
    <t>TRESGUERRAS</t>
  </si>
  <si>
    <t>BUEN TONO</t>
  </si>
  <si>
    <t>CULHUACAN</t>
  </si>
  <si>
    <t>LOMAS VERDES</t>
  </si>
  <si>
    <t>DURANGO</t>
  </si>
  <si>
    <t>038</t>
  </si>
  <si>
    <t>DURANGO, DGO.</t>
  </si>
  <si>
    <t>063</t>
  </si>
  <si>
    <t>GOMEZ PALACIO</t>
  </si>
  <si>
    <t>SANTIAGO PAPASQUIARO</t>
  </si>
  <si>
    <t>CD. LERDO</t>
  </si>
  <si>
    <t>TEPEHUANES</t>
  </si>
  <si>
    <t>GUANAJUATO</t>
  </si>
  <si>
    <t>013</t>
  </si>
  <si>
    <t>GUANAJUATO, GTO.</t>
  </si>
  <si>
    <t>056</t>
  </si>
  <si>
    <t>SALAMANCA</t>
  </si>
  <si>
    <t>067</t>
  </si>
  <si>
    <t>LEON</t>
  </si>
  <si>
    <t>076</t>
  </si>
  <si>
    <t>IRAPUATO</t>
  </si>
  <si>
    <t>ACAMBARO</t>
  </si>
  <si>
    <t>DOLORES HIDALGO</t>
  </si>
  <si>
    <t>CELAYA</t>
  </si>
  <si>
    <t>CORTAZAR</t>
  </si>
  <si>
    <t>SILAO</t>
  </si>
  <si>
    <t>SAN FELIPE TORRES M.</t>
  </si>
  <si>
    <t>GUERRERO</t>
  </si>
  <si>
    <t>028</t>
  </si>
  <si>
    <t>ACAPULCO</t>
  </si>
  <si>
    <t>050</t>
  </si>
  <si>
    <t>CHILPANCINGO</t>
  </si>
  <si>
    <t>090</t>
  </si>
  <si>
    <t>TAXCO DE ALARCON</t>
  </si>
  <si>
    <t>IGUALA</t>
  </si>
  <si>
    <t>OMETEPEC</t>
  </si>
  <si>
    <t>CD. ALTAMIRANO</t>
  </si>
  <si>
    <t>TELOLOAPAN</t>
  </si>
  <si>
    <t>ATOYAC DE ALVAREZ</t>
  </si>
  <si>
    <t>228</t>
  </si>
  <si>
    <t>TLAPA DE COMONFORT</t>
  </si>
  <si>
    <t>ARCELIA</t>
  </si>
  <si>
    <t>ZIHUATANEJO</t>
  </si>
  <si>
    <t>AYUTLA DE LOS LIBRES</t>
  </si>
  <si>
    <t>HIDALGO</t>
  </si>
  <si>
    <t>030</t>
  </si>
  <si>
    <t>PACHUCA</t>
  </si>
  <si>
    <t>079</t>
  </si>
  <si>
    <t>TULANCINGO</t>
  </si>
  <si>
    <t>HUEJUTLA</t>
  </si>
  <si>
    <t>HUICHAPAN</t>
  </si>
  <si>
    <t>MIXQUIAHUALA</t>
  </si>
  <si>
    <t xml:space="preserve">IXMIQUILPAN  </t>
  </si>
  <si>
    <t>JALISCO</t>
  </si>
  <si>
    <t>003</t>
  </si>
  <si>
    <t>GUADALAJARA (S. HGO.)</t>
  </si>
  <si>
    <t>061</t>
  </si>
  <si>
    <t>GUADALAJARA (S. LIB.)</t>
  </si>
  <si>
    <t>083</t>
  </si>
  <si>
    <t>CD. GUZMAN</t>
  </si>
  <si>
    <t>092</t>
  </si>
  <si>
    <t>PUERTO VALLARTA</t>
  </si>
  <si>
    <t>TLAQUEPAQUE</t>
  </si>
  <si>
    <t>LAGOS DE MORENO</t>
  </si>
  <si>
    <t>TEPATITLAN</t>
  </si>
  <si>
    <t>MEXICO</t>
  </si>
  <si>
    <t>021</t>
  </si>
  <si>
    <t>TOLUCA</t>
  </si>
  <si>
    <t>024</t>
  </si>
  <si>
    <t xml:space="preserve">CHAPINGO  </t>
  </si>
  <si>
    <t>044</t>
  </si>
  <si>
    <t>TLALNEPANTLA</t>
  </si>
  <si>
    <t>049</t>
  </si>
  <si>
    <t>TEXCOCO</t>
  </si>
  <si>
    <t>074</t>
  </si>
  <si>
    <t>NAUCALPAN</t>
  </si>
  <si>
    <t>085</t>
  </si>
  <si>
    <t>ATLACOMULCO</t>
  </si>
  <si>
    <t>MICHOACAN</t>
  </si>
  <si>
    <t>027</t>
  </si>
  <si>
    <t>MORELIA</t>
  </si>
  <si>
    <t>036</t>
  </si>
  <si>
    <t>ZITACUARO</t>
  </si>
  <si>
    <t>058</t>
  </si>
  <si>
    <t>URUAPAN</t>
  </si>
  <si>
    <t>071</t>
  </si>
  <si>
    <t>APATZINGAN</t>
  </si>
  <si>
    <t>082</t>
  </si>
  <si>
    <t>LA PIEDAD</t>
  </si>
  <si>
    <t>086</t>
  </si>
  <si>
    <t>JIQUILPAN</t>
  </si>
  <si>
    <t>094</t>
  </si>
  <si>
    <t>LAZARO CARDENAS</t>
  </si>
  <si>
    <t>JACONA</t>
  </si>
  <si>
    <t>PATZCUARO</t>
  </si>
  <si>
    <t>MORELIA ISSSTETIANGUIS</t>
  </si>
  <si>
    <t>ZACAPU</t>
  </si>
  <si>
    <t>CD. HIDALGO</t>
  </si>
  <si>
    <t>MORELOS</t>
  </si>
  <si>
    <t>CUAUTLA</t>
  </si>
  <si>
    <t>JOJUTLA</t>
  </si>
  <si>
    <t>CUERNAVACA</t>
  </si>
  <si>
    <t>ISSSTEHUISTLA</t>
  </si>
  <si>
    <t>NAYARIT</t>
  </si>
  <si>
    <t>032</t>
  </si>
  <si>
    <t>TEPIC</t>
  </si>
  <si>
    <t>SANTIAGO IXCUINTLA</t>
  </si>
  <si>
    <t>ACAPONETA</t>
  </si>
  <si>
    <t>ROSA MORADA</t>
  </si>
  <si>
    <t>NUEVO LEON</t>
  </si>
  <si>
    <t>020</t>
  </si>
  <si>
    <t>MONTERREY</t>
  </si>
  <si>
    <t>LINARES</t>
  </si>
  <si>
    <t>MONTEMORELOS</t>
  </si>
  <si>
    <t>MONTERREY PINO</t>
  </si>
  <si>
    <t xml:space="preserve">MONTERREY INDUSTRIAL  </t>
  </si>
  <si>
    <t>CD. GUADALUPE</t>
  </si>
  <si>
    <t>OAXACA</t>
  </si>
  <si>
    <t>047</t>
  </si>
  <si>
    <t>OAXACA, OAX.</t>
  </si>
  <si>
    <t>JUCHITAN</t>
  </si>
  <si>
    <t>SALINA CRUZ</t>
  </si>
  <si>
    <t>HUAJUAPAN DE LEON</t>
  </si>
  <si>
    <t>TLAXIACO</t>
  </si>
  <si>
    <t>TUXTEPEC</t>
  </si>
  <si>
    <t>PINOTEPA NACIONAL</t>
  </si>
  <si>
    <t>TEHUANTEPEC</t>
  </si>
  <si>
    <t>IXTEPEC</t>
  </si>
  <si>
    <t>POCHUTLA</t>
  </si>
  <si>
    <t>PUEBLA</t>
  </si>
  <si>
    <t>081</t>
  </si>
  <si>
    <t>TEZIUTLAN</t>
  </si>
  <si>
    <t>084</t>
  </si>
  <si>
    <t>HUAUCHINANGO</t>
  </si>
  <si>
    <t>TEHUACAN</t>
  </si>
  <si>
    <t>ATLIXCO</t>
  </si>
  <si>
    <t>IZUCAR DE MATAMOROS</t>
  </si>
  <si>
    <t>ACATLAN</t>
  </si>
  <si>
    <t xml:space="preserve">PUEBLA, PUE. </t>
  </si>
  <si>
    <t>CHIGNAHUAPAN</t>
  </si>
  <si>
    <t>PUEBLA, PUE.</t>
  </si>
  <si>
    <t>ZACATLAN</t>
  </si>
  <si>
    <t>QUERETARO</t>
  </si>
  <si>
    <t>018</t>
  </si>
  <si>
    <t>QUERETARO, QRO.</t>
  </si>
  <si>
    <t>SAN JUAN DEL RIO</t>
  </si>
  <si>
    <t>QUINTANA ROO</t>
  </si>
  <si>
    <t>COZUMEL</t>
  </si>
  <si>
    <t>CHETUMAL</t>
  </si>
  <si>
    <t>FELIPE CARRILLO PUERTO</t>
  </si>
  <si>
    <t>CANCUN</t>
  </si>
  <si>
    <t>SAN LUIS POTOSI</t>
  </si>
  <si>
    <t>016</t>
  </si>
  <si>
    <t>SAN LUIS POTOSI, S.L.P.</t>
  </si>
  <si>
    <t>096</t>
  </si>
  <si>
    <t>CD. VALLES</t>
  </si>
  <si>
    <t>CD. FERNANDEZ</t>
  </si>
  <si>
    <t>MATEHUALA</t>
  </si>
  <si>
    <t xml:space="preserve">TAMAZUNCHALE        </t>
  </si>
  <si>
    <t>SINALOA</t>
  </si>
  <si>
    <t>040</t>
  </si>
  <si>
    <t>MAZATLAN</t>
  </si>
  <si>
    <t>052</t>
  </si>
  <si>
    <t>CULIACAN</t>
  </si>
  <si>
    <t>099</t>
  </si>
  <si>
    <t>LOS MOCHIS</t>
  </si>
  <si>
    <t>GUAMUCHIL</t>
  </si>
  <si>
    <t>GUASAVE</t>
  </si>
  <si>
    <t>EL FUERTE</t>
  </si>
  <si>
    <t>MOCORITO</t>
  </si>
  <si>
    <t>SONORA</t>
  </si>
  <si>
    <t>048</t>
  </si>
  <si>
    <t>HERMOSILLO</t>
  </si>
  <si>
    <t>064</t>
  </si>
  <si>
    <t>CD. OBREGON</t>
  </si>
  <si>
    <t>077</t>
  </si>
  <si>
    <t>GUAYMAS</t>
  </si>
  <si>
    <t>098</t>
  </si>
  <si>
    <t>NAVOJOA</t>
  </si>
  <si>
    <t>NOGALES</t>
  </si>
  <si>
    <t>CABORCA</t>
  </si>
  <si>
    <t>164</t>
  </si>
  <si>
    <t>SAN LUIS RIO COLORADO</t>
  </si>
  <si>
    <t>HERMOSILLO CATRA</t>
  </si>
  <si>
    <t>CANANEA</t>
  </si>
  <si>
    <t>AGUA PRIETA</t>
  </si>
  <si>
    <t>PUERTO PEÑASCO</t>
  </si>
  <si>
    <t>TABASCO</t>
  </si>
  <si>
    <t>043</t>
  </si>
  <si>
    <t>VILLAHERMOSA</t>
  </si>
  <si>
    <t>130</t>
  </si>
  <si>
    <t xml:space="preserve">CARDENAS            </t>
  </si>
  <si>
    <t>FRONTERA</t>
  </si>
  <si>
    <t>CUNDUACAN</t>
  </si>
  <si>
    <t>TEAPA</t>
  </si>
  <si>
    <t>TENOSIQUE</t>
  </si>
  <si>
    <t>TAMAULIPAS</t>
  </si>
  <si>
    <t>041</t>
  </si>
  <si>
    <t>TAMPICO</t>
  </si>
  <si>
    <t>066</t>
  </si>
  <si>
    <t>CD. VICTORIA</t>
  </si>
  <si>
    <t>072</t>
  </si>
  <si>
    <t>NUEVO LAREDO</t>
  </si>
  <si>
    <t>097</t>
  </si>
  <si>
    <t>CD. MANTE</t>
  </si>
  <si>
    <t>CD. REYNOSA</t>
  </si>
  <si>
    <t>RIO BRAVO</t>
  </si>
  <si>
    <t>CD. ALEMAN</t>
  </si>
  <si>
    <t>SAN FERNANDO</t>
  </si>
  <si>
    <t>TLAXCALA</t>
  </si>
  <si>
    <t>TLAXCALA, TLAX.</t>
  </si>
  <si>
    <t>HUAMANTLA</t>
  </si>
  <si>
    <t>APIZACO</t>
  </si>
  <si>
    <t>VERACRUZ</t>
  </si>
  <si>
    <t>006</t>
  </si>
  <si>
    <t>VERACRUZ, VER.</t>
  </si>
  <si>
    <t>057</t>
  </si>
  <si>
    <t>ORIZABA</t>
  </si>
  <si>
    <t>068</t>
  </si>
  <si>
    <t>TUXPAN</t>
  </si>
  <si>
    <t>089</t>
  </si>
  <si>
    <t>POZA RICA</t>
  </si>
  <si>
    <t>CORDOBA</t>
  </si>
  <si>
    <t>COATZACOALCOS</t>
  </si>
  <si>
    <t>BOCA DEL RIO</t>
  </si>
  <si>
    <t>JALAPA</t>
  </si>
  <si>
    <t xml:space="preserve">MINATITLAN </t>
  </si>
  <si>
    <t>271</t>
  </si>
  <si>
    <t>SAN ANDRES TUXTLA  *</t>
  </si>
  <si>
    <t>YUCATAN</t>
  </si>
  <si>
    <t>029</t>
  </si>
  <si>
    <t>MERIDA</t>
  </si>
  <si>
    <t>TEKAX</t>
  </si>
  <si>
    <t>TIZIMIN</t>
  </si>
  <si>
    <t>VALLADOLID</t>
  </si>
  <si>
    <t>PROGRESO</t>
  </si>
  <si>
    <t>ZACATECAS</t>
  </si>
  <si>
    <t>069</t>
  </si>
  <si>
    <t>FRESNILLO</t>
  </si>
  <si>
    <t>ZACATECAS, ZAC.</t>
  </si>
  <si>
    <t>RIO GRANDE</t>
  </si>
  <si>
    <t>JEREZ</t>
  </si>
  <si>
    <t>JALPA</t>
  </si>
  <si>
    <t>SOMBRERETE</t>
  </si>
  <si>
    <t>( MILES DE PESOS )</t>
  </si>
  <si>
    <t xml:space="preserve"> U B I C A C I O 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</si>
</sst>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000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75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6.125" style="0" customWidth="1"/>
    <col min="2" max="2" width="22.625" style="0" customWidth="1"/>
    <col min="3" max="10" width="14.625" style="0" customWidth="1"/>
    <col min="11" max="11" width="15.625" style="0" customWidth="1"/>
    <col min="12" max="12" width="2.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"/>
    </row>
    <row r="5" spans="1:12" ht="12.75">
      <c r="A5" s="12" t="s">
        <v>382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2"/>
    </row>
    <row r="8" spans="1:12" ht="12.75">
      <c r="A8" s="6"/>
      <c r="B8" s="6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6"/>
      <c r="L8" s="2"/>
    </row>
    <row r="9" spans="1:12" ht="12.75">
      <c r="A9" s="6"/>
      <c r="B9" s="6"/>
      <c r="C9" s="3" t="s">
        <v>11</v>
      </c>
      <c r="D9" s="3" t="s">
        <v>11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6"/>
      <c r="L9" s="2"/>
    </row>
    <row r="10" spans="1:12" ht="12.75">
      <c r="A10" s="3" t="s">
        <v>17</v>
      </c>
      <c r="B10" s="6"/>
      <c r="C10" s="3" t="s">
        <v>18</v>
      </c>
      <c r="D10" s="3" t="s">
        <v>18</v>
      </c>
      <c r="E10" s="3" t="s">
        <v>19</v>
      </c>
      <c r="F10" s="3" t="s">
        <v>20</v>
      </c>
      <c r="G10" s="3" t="s">
        <v>21</v>
      </c>
      <c r="H10" s="3" t="s">
        <v>21</v>
      </c>
      <c r="I10" s="3" t="s">
        <v>22</v>
      </c>
      <c r="J10" s="3" t="s">
        <v>21</v>
      </c>
      <c r="K10" s="6"/>
      <c r="L10" s="2"/>
    </row>
    <row r="11" spans="1:12" ht="12.75">
      <c r="A11" s="3" t="s">
        <v>23</v>
      </c>
      <c r="B11" s="3" t="s">
        <v>383</v>
      </c>
      <c r="C11" s="3" t="s">
        <v>24</v>
      </c>
      <c r="D11" s="3" t="s">
        <v>25</v>
      </c>
      <c r="E11" s="3" t="s">
        <v>18</v>
      </c>
      <c r="F11" s="6"/>
      <c r="G11" s="3" t="s">
        <v>26</v>
      </c>
      <c r="H11" s="3" t="s">
        <v>27</v>
      </c>
      <c r="I11" s="3" t="s">
        <v>28</v>
      </c>
      <c r="J11" s="3" t="s">
        <v>29</v>
      </c>
      <c r="K11" s="3" t="s">
        <v>30</v>
      </c>
      <c r="L11" s="2"/>
    </row>
    <row r="12" spans="1:12" ht="12.75">
      <c r="A12" s="9"/>
      <c r="B12" s="7"/>
      <c r="C12" s="7"/>
      <c r="D12" s="8"/>
      <c r="E12" s="8"/>
      <c r="F12" s="8"/>
      <c r="G12" s="8"/>
      <c r="H12" s="8"/>
      <c r="I12" s="8"/>
      <c r="J12" s="8"/>
      <c r="K12" s="8"/>
      <c r="L12" s="4"/>
    </row>
    <row r="13" spans="1:12" ht="12.75">
      <c r="A13" s="6"/>
      <c r="B13" s="2"/>
      <c r="C13" s="5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6"/>
      <c r="B14" s="3" t="s">
        <v>30</v>
      </c>
      <c r="C14" s="4">
        <f>SUM(C16:C380)/2</f>
        <v>1581022.1419999993</v>
      </c>
      <c r="D14" s="4">
        <f>SUM(D16:D380)/2</f>
        <v>1769259.5579999995</v>
      </c>
      <c r="E14" s="4">
        <f>SUM(E16:E380)/2</f>
        <v>3036251.227999999</v>
      </c>
      <c r="F14" s="4">
        <f aca="true" t="shared" si="0" ref="F14:K14">SUM(F16:F380)/2</f>
        <v>456986.2670000005</v>
      </c>
      <c r="G14" s="4">
        <f t="shared" si="0"/>
        <v>913344.7360000004</v>
      </c>
      <c r="H14" s="4">
        <f t="shared" si="0"/>
        <v>215104.77899999995</v>
      </c>
      <c r="I14" s="4">
        <f t="shared" si="0"/>
        <v>928926.2740000004</v>
      </c>
      <c r="J14" s="4">
        <f t="shared" si="0"/>
        <v>264570.5459999999</v>
      </c>
      <c r="K14" s="4">
        <f t="shared" si="0"/>
        <v>9165465.529999992</v>
      </c>
      <c r="L14" s="2"/>
    </row>
    <row r="15" spans="1:12" ht="12.75">
      <c r="A15" s="6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</row>
    <row r="16" spans="1:12" ht="12.75">
      <c r="A16" s="6"/>
      <c r="B16" s="3" t="s">
        <v>31</v>
      </c>
      <c r="C16" s="4">
        <f>SUM(C18:C21)</f>
        <v>20265</v>
      </c>
      <c r="D16" s="4">
        <f>SUM(D18:D21)</f>
        <v>25865</v>
      </c>
      <c r="E16" s="4">
        <f>SUM(E18:E21)</f>
        <v>45690</v>
      </c>
      <c r="F16" s="4">
        <f aca="true" t="shared" si="1" ref="F16:K16">SUM(F18:F21)</f>
        <v>5568</v>
      </c>
      <c r="G16" s="4">
        <f t="shared" si="1"/>
        <v>14999</v>
      </c>
      <c r="H16" s="4">
        <f t="shared" si="1"/>
        <v>3144</v>
      </c>
      <c r="I16" s="4">
        <f t="shared" si="1"/>
        <v>12644</v>
      </c>
      <c r="J16" s="4">
        <f t="shared" si="1"/>
        <v>4213</v>
      </c>
      <c r="K16" s="4">
        <f t="shared" si="1"/>
        <v>132388</v>
      </c>
      <c r="L16" s="4"/>
    </row>
    <row r="17" spans="1:12" ht="12.75">
      <c r="A17" s="6"/>
      <c r="B17" s="2"/>
      <c r="C17" s="4"/>
      <c r="D17" s="4"/>
      <c r="E17" s="4"/>
      <c r="F17" s="4"/>
      <c r="G17" s="4"/>
      <c r="H17" s="4"/>
      <c r="I17" s="4"/>
      <c r="J17" s="4"/>
      <c r="K17" s="4"/>
      <c r="L17" s="2"/>
    </row>
    <row r="18" spans="1:12" ht="12.75">
      <c r="A18" s="3">
        <v>168</v>
      </c>
      <c r="B18" s="1" t="s">
        <v>32</v>
      </c>
      <c r="C18" s="4">
        <v>9433</v>
      </c>
      <c r="D18" s="4">
        <v>13255</v>
      </c>
      <c r="E18" s="4">
        <v>22012</v>
      </c>
      <c r="F18" s="4">
        <v>3638</v>
      </c>
      <c r="G18" s="4">
        <v>7724</v>
      </c>
      <c r="H18" s="4">
        <v>1766</v>
      </c>
      <c r="I18" s="4">
        <v>4103</v>
      </c>
      <c r="J18" s="4">
        <v>1974</v>
      </c>
      <c r="K18" s="4">
        <f>SUM(C18:J18)</f>
        <v>63905</v>
      </c>
      <c r="L18" s="2"/>
    </row>
    <row r="19" spans="1:12" ht="12.75">
      <c r="A19" s="3">
        <v>218</v>
      </c>
      <c r="B19" s="1" t="s">
        <v>32</v>
      </c>
      <c r="C19" s="4">
        <v>5576</v>
      </c>
      <c r="D19" s="4">
        <v>7320</v>
      </c>
      <c r="E19" s="4">
        <v>13254</v>
      </c>
      <c r="F19" s="4">
        <v>1377</v>
      </c>
      <c r="G19" s="4">
        <v>4575</v>
      </c>
      <c r="H19" s="4">
        <v>1033</v>
      </c>
      <c r="I19" s="4">
        <v>2728</v>
      </c>
      <c r="J19" s="4">
        <v>1174</v>
      </c>
      <c r="K19" s="4">
        <f>SUM(C19:J19)</f>
        <v>37037</v>
      </c>
      <c r="L19" s="2"/>
    </row>
    <row r="20" spans="1:12" ht="12.75">
      <c r="A20" s="3">
        <v>266</v>
      </c>
      <c r="B20" s="1" t="s">
        <v>33</v>
      </c>
      <c r="C20" s="4">
        <v>3755</v>
      </c>
      <c r="D20" s="4">
        <v>3443</v>
      </c>
      <c r="E20" s="4">
        <v>7542</v>
      </c>
      <c r="F20" s="4">
        <v>421</v>
      </c>
      <c r="G20" s="4">
        <v>2048</v>
      </c>
      <c r="H20" s="4">
        <v>247</v>
      </c>
      <c r="I20" s="4">
        <v>1468</v>
      </c>
      <c r="J20" s="4">
        <v>755</v>
      </c>
      <c r="K20" s="4">
        <f>SUM(C20:J20)</f>
        <v>19679</v>
      </c>
      <c r="L20" s="2"/>
    </row>
    <row r="21" spans="1:12" ht="12.75">
      <c r="A21" s="3">
        <v>276</v>
      </c>
      <c r="B21" s="1" t="s">
        <v>34</v>
      </c>
      <c r="C21" s="4">
        <v>1501</v>
      </c>
      <c r="D21" s="4">
        <v>1847</v>
      </c>
      <c r="E21" s="4">
        <v>2882</v>
      </c>
      <c r="F21" s="4">
        <v>132</v>
      </c>
      <c r="G21" s="4">
        <v>652</v>
      </c>
      <c r="H21" s="4">
        <v>98</v>
      </c>
      <c r="I21" s="4">
        <v>4345</v>
      </c>
      <c r="J21" s="4">
        <v>310</v>
      </c>
      <c r="K21" s="4">
        <f>SUM(C21:J21)</f>
        <v>11767</v>
      </c>
      <c r="L21" s="2"/>
    </row>
    <row r="22" spans="1:12" ht="12.75">
      <c r="A22" s="6"/>
      <c r="B22" s="2"/>
      <c r="C22" s="4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6"/>
      <c r="B23" s="3" t="s">
        <v>35</v>
      </c>
      <c r="C23" s="4">
        <f>SUM(C25:C31)</f>
        <v>29409</v>
      </c>
      <c r="D23" s="4">
        <f>SUM(D25:D31)</f>
        <v>43988</v>
      </c>
      <c r="E23" s="4">
        <f>SUM(E25:E31)</f>
        <v>50649</v>
      </c>
      <c r="F23" s="4">
        <f aca="true" t="shared" si="2" ref="F23:K23">SUM(F25:F31)</f>
        <v>7683</v>
      </c>
      <c r="G23" s="4">
        <f t="shared" si="2"/>
        <v>20338</v>
      </c>
      <c r="H23" s="4">
        <f t="shared" si="2"/>
        <v>2832</v>
      </c>
      <c r="I23" s="4">
        <f t="shared" si="2"/>
        <v>33424</v>
      </c>
      <c r="J23" s="4">
        <f t="shared" si="2"/>
        <v>10721</v>
      </c>
      <c r="K23" s="4">
        <f t="shared" si="2"/>
        <v>199044</v>
      </c>
      <c r="L23" s="4"/>
    </row>
    <row r="24" spans="1:12" ht="12.7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 t="s">
        <v>36</v>
      </c>
      <c r="B25" s="1" t="s">
        <v>37</v>
      </c>
      <c r="C25" s="4">
        <v>6891</v>
      </c>
      <c r="D25" s="4">
        <v>8623</v>
      </c>
      <c r="E25" s="4">
        <v>8355</v>
      </c>
      <c r="F25" s="4">
        <v>580</v>
      </c>
      <c r="G25" s="4">
        <v>3236</v>
      </c>
      <c r="H25" s="4">
        <v>244</v>
      </c>
      <c r="I25" s="4">
        <v>114</v>
      </c>
      <c r="J25" s="4">
        <v>2558</v>
      </c>
      <c r="K25" s="4">
        <f aca="true" t="shared" si="3" ref="K25:K31">SUM(C25:J25)</f>
        <v>30601</v>
      </c>
      <c r="L25" s="2"/>
    </row>
    <row r="26" spans="1:12" ht="12.75">
      <c r="A26" s="3">
        <v>107</v>
      </c>
      <c r="B26" s="1" t="s">
        <v>38</v>
      </c>
      <c r="C26" s="4">
        <v>6073</v>
      </c>
      <c r="D26" s="4">
        <v>8791</v>
      </c>
      <c r="E26" s="4">
        <v>10660</v>
      </c>
      <c r="F26" s="4">
        <v>1662</v>
      </c>
      <c r="G26" s="4">
        <v>4606</v>
      </c>
      <c r="H26" s="4">
        <v>191</v>
      </c>
      <c r="I26" s="4">
        <v>532</v>
      </c>
      <c r="J26" s="4">
        <v>3732</v>
      </c>
      <c r="K26" s="4">
        <f t="shared" si="3"/>
        <v>36247</v>
      </c>
      <c r="L26" s="2"/>
    </row>
    <row r="27" spans="1:12" ht="12.75">
      <c r="A27" s="3">
        <v>149</v>
      </c>
      <c r="B27" s="1" t="s">
        <v>39</v>
      </c>
      <c r="C27" s="4">
        <v>5039</v>
      </c>
      <c r="D27" s="4">
        <v>8829</v>
      </c>
      <c r="E27" s="4">
        <v>11266</v>
      </c>
      <c r="F27" s="4">
        <v>1103</v>
      </c>
      <c r="G27" s="4">
        <v>3158</v>
      </c>
      <c r="H27" s="4">
        <v>174</v>
      </c>
      <c r="I27" s="4">
        <v>216</v>
      </c>
      <c r="J27" s="4">
        <v>1003</v>
      </c>
      <c r="K27" s="4">
        <f t="shared" si="3"/>
        <v>30788</v>
      </c>
      <c r="L27" s="2"/>
    </row>
    <row r="28" spans="1:12" ht="12.75">
      <c r="A28" s="3">
        <v>184</v>
      </c>
      <c r="B28" s="1" t="s">
        <v>40</v>
      </c>
      <c r="C28" s="4">
        <v>2815</v>
      </c>
      <c r="D28" s="4">
        <v>4105</v>
      </c>
      <c r="E28" s="4">
        <v>4925</v>
      </c>
      <c r="F28" s="4">
        <v>313</v>
      </c>
      <c r="G28" s="4">
        <v>2573</v>
      </c>
      <c r="H28" s="4">
        <v>103</v>
      </c>
      <c r="I28" s="4">
        <v>40</v>
      </c>
      <c r="J28" s="4">
        <v>333</v>
      </c>
      <c r="K28" s="4">
        <f t="shared" si="3"/>
        <v>15207</v>
      </c>
      <c r="L28" s="2"/>
    </row>
    <row r="29" spans="1:12" ht="12.75">
      <c r="A29" s="3">
        <v>206</v>
      </c>
      <c r="B29" s="1" t="s">
        <v>41</v>
      </c>
      <c r="C29" s="4">
        <v>1585</v>
      </c>
      <c r="D29" s="4">
        <v>1638</v>
      </c>
      <c r="E29" s="4">
        <v>1294</v>
      </c>
      <c r="F29" s="4">
        <v>145</v>
      </c>
      <c r="G29" s="4">
        <v>676</v>
      </c>
      <c r="H29" s="4">
        <v>50</v>
      </c>
      <c r="I29" s="4">
        <v>29</v>
      </c>
      <c r="J29" s="4">
        <v>745</v>
      </c>
      <c r="K29" s="4">
        <f t="shared" si="3"/>
        <v>6162</v>
      </c>
      <c r="L29" s="2"/>
    </row>
    <row r="30" spans="1:12" ht="12.75">
      <c r="A30" s="3">
        <v>219</v>
      </c>
      <c r="B30" s="1" t="s">
        <v>39</v>
      </c>
      <c r="C30" s="4">
        <v>2125</v>
      </c>
      <c r="D30" s="4">
        <v>4054</v>
      </c>
      <c r="E30" s="4">
        <v>5024</v>
      </c>
      <c r="F30" s="4">
        <v>357</v>
      </c>
      <c r="G30" s="4">
        <v>1548</v>
      </c>
      <c r="H30" s="4">
        <v>362</v>
      </c>
      <c r="I30" s="4">
        <v>10868</v>
      </c>
      <c r="J30" s="4">
        <v>342</v>
      </c>
      <c r="K30" s="4">
        <f t="shared" si="3"/>
        <v>24680</v>
      </c>
      <c r="L30" s="2"/>
    </row>
    <row r="31" spans="1:12" ht="12.75">
      <c r="A31" s="3">
        <v>298</v>
      </c>
      <c r="B31" s="1" t="s">
        <v>42</v>
      </c>
      <c r="C31" s="4">
        <v>4881</v>
      </c>
      <c r="D31" s="4">
        <v>7948</v>
      </c>
      <c r="E31" s="4">
        <v>9125</v>
      </c>
      <c r="F31" s="4">
        <v>3523</v>
      </c>
      <c r="G31" s="4">
        <v>4541</v>
      </c>
      <c r="H31" s="4">
        <v>1708</v>
      </c>
      <c r="I31" s="4">
        <v>21625</v>
      </c>
      <c r="J31" s="4">
        <v>2008</v>
      </c>
      <c r="K31" s="4">
        <f t="shared" si="3"/>
        <v>55359</v>
      </c>
      <c r="L31" s="2"/>
    </row>
    <row r="32" spans="1:12" ht="12.7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6"/>
      <c r="B33" s="3" t="s">
        <v>43</v>
      </c>
      <c r="C33" s="4">
        <f>SUM(C35:C43)</f>
        <v>51521</v>
      </c>
      <c r="D33" s="4">
        <f>SUM(D35:D43)</f>
        <v>72910</v>
      </c>
      <c r="E33" s="4">
        <f>SUM(E35:E43)</f>
        <v>94527</v>
      </c>
      <c r="F33" s="4">
        <f aca="true" t="shared" si="4" ref="F33:K33">SUM(F35:F43)</f>
        <v>8826</v>
      </c>
      <c r="G33" s="4">
        <f t="shared" si="4"/>
        <v>26731</v>
      </c>
      <c r="H33" s="4">
        <f t="shared" si="4"/>
        <v>3088</v>
      </c>
      <c r="I33" s="4">
        <f t="shared" si="4"/>
        <v>13291.04</v>
      </c>
      <c r="J33" s="4">
        <f t="shared" si="4"/>
        <v>9722.112000000001</v>
      </c>
      <c r="K33" s="4">
        <f t="shared" si="4"/>
        <v>280616.152</v>
      </c>
      <c r="L33" s="4"/>
    </row>
    <row r="34" spans="1:12" ht="12.7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3" t="s">
        <v>44</v>
      </c>
      <c r="B35" s="1" t="s">
        <v>45</v>
      </c>
      <c r="C35" s="4">
        <v>14292</v>
      </c>
      <c r="D35" s="4">
        <v>19164</v>
      </c>
      <c r="E35" s="4">
        <v>31812</v>
      </c>
      <c r="F35" s="4">
        <v>3401</v>
      </c>
      <c r="G35" s="4">
        <v>7983</v>
      </c>
      <c r="H35" s="4">
        <v>525</v>
      </c>
      <c r="I35" s="4">
        <v>137</v>
      </c>
      <c r="J35" s="4">
        <v>2233</v>
      </c>
      <c r="K35" s="4">
        <f aca="true" t="shared" si="5" ref="K35:K43">SUM(C35:J35)</f>
        <v>79547</v>
      </c>
      <c r="L35" s="2"/>
    </row>
    <row r="36" spans="1:12" ht="12.75">
      <c r="A36" s="3">
        <v>122</v>
      </c>
      <c r="B36" s="1" t="s">
        <v>46</v>
      </c>
      <c r="C36" s="4">
        <v>6921</v>
      </c>
      <c r="D36" s="4">
        <v>8868</v>
      </c>
      <c r="E36" s="4">
        <v>11221</v>
      </c>
      <c r="F36" s="4">
        <v>608</v>
      </c>
      <c r="G36" s="4">
        <v>4835</v>
      </c>
      <c r="H36" s="4">
        <v>956</v>
      </c>
      <c r="I36" s="4">
        <v>6694</v>
      </c>
      <c r="J36" s="4">
        <v>0.112</v>
      </c>
      <c r="K36" s="4">
        <f t="shared" si="5"/>
        <v>40103.112</v>
      </c>
      <c r="L36" s="2"/>
    </row>
    <row r="37" spans="1:12" ht="12.75">
      <c r="A37" s="3">
        <v>178</v>
      </c>
      <c r="B37" s="1" t="s">
        <v>47</v>
      </c>
      <c r="C37" s="4">
        <v>4054</v>
      </c>
      <c r="D37" s="4">
        <v>3703</v>
      </c>
      <c r="E37" s="4">
        <v>3476</v>
      </c>
      <c r="F37" s="4">
        <v>230</v>
      </c>
      <c r="G37" s="4">
        <v>734</v>
      </c>
      <c r="H37" s="4">
        <v>256</v>
      </c>
      <c r="I37" s="4">
        <v>2215</v>
      </c>
      <c r="J37" s="4">
        <v>543</v>
      </c>
      <c r="K37" s="4">
        <f t="shared" si="5"/>
        <v>15211</v>
      </c>
      <c r="L37" s="2"/>
    </row>
    <row r="38" spans="1:12" ht="12.75">
      <c r="A38" s="3">
        <v>179</v>
      </c>
      <c r="B38" s="1" t="s">
        <v>48</v>
      </c>
      <c r="C38" s="4">
        <v>2652</v>
      </c>
      <c r="D38" s="4">
        <v>7979</v>
      </c>
      <c r="E38" s="4">
        <v>7134</v>
      </c>
      <c r="F38" s="4">
        <v>1023</v>
      </c>
      <c r="G38" s="4">
        <v>2209</v>
      </c>
      <c r="H38" s="4">
        <v>22</v>
      </c>
      <c r="I38" s="4">
        <v>0.04</v>
      </c>
      <c r="J38" s="4">
        <v>1886</v>
      </c>
      <c r="K38" s="4">
        <f t="shared" si="5"/>
        <v>22905.04</v>
      </c>
      <c r="L38" s="2"/>
    </row>
    <row r="39" spans="1:12" ht="12.75">
      <c r="A39" s="3">
        <v>183</v>
      </c>
      <c r="B39" s="1" t="s">
        <v>49</v>
      </c>
      <c r="C39" s="4">
        <v>2441</v>
      </c>
      <c r="D39" s="4">
        <v>3349</v>
      </c>
      <c r="E39" s="4">
        <v>3640</v>
      </c>
      <c r="F39" s="4">
        <v>117</v>
      </c>
      <c r="G39" s="4">
        <v>958</v>
      </c>
      <c r="H39" s="4">
        <v>43</v>
      </c>
      <c r="I39" s="4">
        <v>842</v>
      </c>
      <c r="J39" s="4">
        <v>1530</v>
      </c>
      <c r="K39" s="4">
        <f t="shared" si="5"/>
        <v>12920</v>
      </c>
      <c r="L39" s="2"/>
    </row>
    <row r="40" spans="1:12" ht="12.75">
      <c r="A40" s="3" t="s">
        <v>50</v>
      </c>
      <c r="B40" s="1" t="s">
        <v>51</v>
      </c>
      <c r="C40" s="4"/>
      <c r="D40" s="4"/>
      <c r="E40" s="4"/>
      <c r="F40" s="4"/>
      <c r="G40" s="4"/>
      <c r="H40" s="4"/>
      <c r="I40" s="4"/>
      <c r="J40" s="4"/>
      <c r="K40" s="4"/>
      <c r="L40" s="2"/>
    </row>
    <row r="41" spans="1:12" ht="12.75">
      <c r="A41" s="3">
        <v>220</v>
      </c>
      <c r="B41" s="1" t="s">
        <v>45</v>
      </c>
      <c r="C41" s="4">
        <v>8465</v>
      </c>
      <c r="D41" s="4">
        <v>11345</v>
      </c>
      <c r="E41" s="4">
        <v>15918</v>
      </c>
      <c r="F41" s="4">
        <v>1214</v>
      </c>
      <c r="G41" s="4">
        <v>4774</v>
      </c>
      <c r="H41" s="4">
        <v>507</v>
      </c>
      <c r="I41" s="4">
        <v>882</v>
      </c>
      <c r="J41" s="4">
        <v>1304</v>
      </c>
      <c r="K41" s="4">
        <f t="shared" si="5"/>
        <v>44409</v>
      </c>
      <c r="L41" s="2"/>
    </row>
    <row r="42" spans="1:12" ht="12.75">
      <c r="A42" s="3">
        <v>297</v>
      </c>
      <c r="B42" s="1" t="s">
        <v>52</v>
      </c>
      <c r="C42" s="4">
        <v>9823</v>
      </c>
      <c r="D42" s="4">
        <v>14645</v>
      </c>
      <c r="E42" s="4">
        <v>17641</v>
      </c>
      <c r="F42" s="4">
        <v>1693</v>
      </c>
      <c r="G42" s="4">
        <v>4075</v>
      </c>
      <c r="H42" s="4">
        <v>534</v>
      </c>
      <c r="I42" s="4">
        <v>393</v>
      </c>
      <c r="J42" s="4">
        <v>1955</v>
      </c>
      <c r="K42" s="4">
        <f t="shared" si="5"/>
        <v>50759</v>
      </c>
      <c r="L42" s="4"/>
    </row>
    <row r="43" spans="1:12" ht="12.75">
      <c r="A43" s="3">
        <v>299</v>
      </c>
      <c r="B43" s="1" t="s">
        <v>53</v>
      </c>
      <c r="C43" s="4">
        <v>2873</v>
      </c>
      <c r="D43" s="4">
        <v>3857</v>
      </c>
      <c r="E43" s="4">
        <v>3685</v>
      </c>
      <c r="F43" s="4">
        <v>540</v>
      </c>
      <c r="G43" s="4">
        <v>1163</v>
      </c>
      <c r="H43" s="4">
        <v>245</v>
      </c>
      <c r="I43" s="4">
        <v>2128</v>
      </c>
      <c r="J43" s="4">
        <v>271</v>
      </c>
      <c r="K43" s="4">
        <f t="shared" si="5"/>
        <v>14762</v>
      </c>
      <c r="L43" s="2"/>
    </row>
    <row r="44" spans="1:12" ht="12.75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6"/>
      <c r="B45" s="3" t="s">
        <v>54</v>
      </c>
      <c r="C45" s="4">
        <f>SUM(C47:C51)</f>
        <v>37165.46399999999</v>
      </c>
      <c r="D45" s="4">
        <f>SUM(D47:D51)</f>
        <v>29566.867000000002</v>
      </c>
      <c r="E45" s="4">
        <f>SUM(E47:E51)</f>
        <v>44312.609</v>
      </c>
      <c r="F45" s="4">
        <f aca="true" t="shared" si="6" ref="F45:K45">SUM(F47:F51)</f>
        <v>4972.398</v>
      </c>
      <c r="G45" s="4">
        <f t="shared" si="6"/>
        <v>17507.284</v>
      </c>
      <c r="H45" s="4">
        <f t="shared" si="6"/>
        <v>1995.9509999999998</v>
      </c>
      <c r="I45" s="4">
        <f t="shared" si="6"/>
        <v>8467.059000000001</v>
      </c>
      <c r="J45" s="4">
        <f t="shared" si="6"/>
        <v>7641.142</v>
      </c>
      <c r="K45" s="4">
        <f t="shared" si="6"/>
        <v>151628.774</v>
      </c>
      <c r="L45" s="2"/>
    </row>
    <row r="46" spans="1:12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3" t="s">
        <v>55</v>
      </c>
      <c r="B47" s="1" t="s">
        <v>56</v>
      </c>
      <c r="C47" s="4">
        <f>13106455/1000</f>
        <v>13106.455</v>
      </c>
      <c r="D47" s="4">
        <f>9651748/1000</f>
        <v>9651.748</v>
      </c>
      <c r="E47" s="4">
        <f>14985497/1000</f>
        <v>14985.497</v>
      </c>
      <c r="F47" s="4">
        <f>1051666/1000</f>
        <v>1051.666</v>
      </c>
      <c r="G47" s="4">
        <f>6678419/1000</f>
        <v>6678.419</v>
      </c>
      <c r="H47" s="4">
        <f>416632/1000</f>
        <v>416.632</v>
      </c>
      <c r="I47" s="4">
        <f>248389/1000</f>
        <v>248.389</v>
      </c>
      <c r="J47" s="4">
        <v>2931</v>
      </c>
      <c r="K47" s="4">
        <f>SUM(C47:J47)</f>
        <v>49069.806</v>
      </c>
      <c r="L47" s="2"/>
    </row>
    <row r="48" spans="1:12" ht="12.75">
      <c r="A48" s="3" t="s">
        <v>57</v>
      </c>
      <c r="B48" s="1" t="s">
        <v>58</v>
      </c>
      <c r="C48" s="4">
        <f>5855379/1000</f>
        <v>5855.379</v>
      </c>
      <c r="D48" s="4">
        <f>4457159/1000</f>
        <v>4457.159</v>
      </c>
      <c r="E48" s="4">
        <f>8673696/1000</f>
        <v>8673.696</v>
      </c>
      <c r="F48" s="4">
        <f>1734695/1000</f>
        <v>1734.695</v>
      </c>
      <c r="G48" s="4">
        <f>3362395/1000</f>
        <v>3362.395</v>
      </c>
      <c r="H48" s="4">
        <f>815582/1000</f>
        <v>815.582</v>
      </c>
      <c r="I48" s="4">
        <f>5004126/1000</f>
        <v>5004.126</v>
      </c>
      <c r="J48" s="4">
        <f>918113/1000</f>
        <v>918.113</v>
      </c>
      <c r="K48" s="4">
        <f>SUM(C48:J48)</f>
        <v>30821.145</v>
      </c>
      <c r="L48" s="2"/>
    </row>
    <row r="49" spans="1:12" ht="12.75">
      <c r="A49" s="3">
        <v>211</v>
      </c>
      <c r="B49" s="1" t="s">
        <v>59</v>
      </c>
      <c r="C49" s="4">
        <f>5321666/1000</f>
        <v>5321.666</v>
      </c>
      <c r="D49" s="4">
        <f>4519148/1000</f>
        <v>4519.148</v>
      </c>
      <c r="E49" s="4">
        <f>5655611/1000</f>
        <v>5655.611</v>
      </c>
      <c r="F49" s="4">
        <f>582371/1000</f>
        <v>582.371</v>
      </c>
      <c r="G49" s="4">
        <f>2737890/1000</f>
        <v>2737.89</v>
      </c>
      <c r="H49" s="4">
        <f>307082/1000</f>
        <v>307.082</v>
      </c>
      <c r="I49" s="4">
        <f>3026313/1000</f>
        <v>3026.313</v>
      </c>
      <c r="J49" s="4">
        <f>1102576/1000</f>
        <v>1102.576</v>
      </c>
      <c r="K49" s="4">
        <f>SUM(C49:J49)</f>
        <v>23252.657</v>
      </c>
      <c r="L49" s="2"/>
    </row>
    <row r="50" spans="1:12" ht="12.75">
      <c r="A50" s="3">
        <v>221</v>
      </c>
      <c r="B50" s="1" t="s">
        <v>56</v>
      </c>
      <c r="C50" s="4">
        <f>8564518/1000</f>
        <v>8564.518</v>
      </c>
      <c r="D50" s="4">
        <f>7804616/1000</f>
        <v>7804.616</v>
      </c>
      <c r="E50" s="4">
        <f>9982896/1000</f>
        <v>9982.896</v>
      </c>
      <c r="F50" s="4">
        <f>1082331/1000</f>
        <v>1082.331</v>
      </c>
      <c r="G50" s="4">
        <f>2946545/1000</f>
        <v>2946.545</v>
      </c>
      <c r="H50" s="4">
        <f>303396/1000</f>
        <v>303.396</v>
      </c>
      <c r="I50" s="4">
        <f>155217/1000</f>
        <v>155.217</v>
      </c>
      <c r="J50" s="4">
        <f>2012079/1000</f>
        <v>2012.079</v>
      </c>
      <c r="K50" s="4">
        <f>SUM(C50:J50)</f>
        <v>32851.598</v>
      </c>
      <c r="L50" s="2"/>
    </row>
    <row r="51" spans="1:12" ht="12.75">
      <c r="A51" s="3">
        <v>270</v>
      </c>
      <c r="B51" s="1" t="s">
        <v>60</v>
      </c>
      <c r="C51" s="4">
        <f>4317446/1000</f>
        <v>4317.446</v>
      </c>
      <c r="D51" s="4">
        <f>3134196/1000</f>
        <v>3134.196</v>
      </c>
      <c r="E51" s="4">
        <f>5014909/1000</f>
        <v>5014.909</v>
      </c>
      <c r="F51" s="4">
        <f>521335/1000</f>
        <v>521.335</v>
      </c>
      <c r="G51" s="4">
        <f>1782035/1000</f>
        <v>1782.035</v>
      </c>
      <c r="H51" s="4">
        <f>153259/1000</f>
        <v>153.259</v>
      </c>
      <c r="I51" s="4">
        <f>33014/1000</f>
        <v>33.014</v>
      </c>
      <c r="J51" s="4">
        <f>677374/1000</f>
        <v>677.374</v>
      </c>
      <c r="K51" s="4">
        <f>SUM(C51:J51)</f>
        <v>15633.567999999997</v>
      </c>
      <c r="L51" s="2"/>
    </row>
    <row r="52" spans="1:12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6"/>
      <c r="B53" s="3" t="s">
        <v>61</v>
      </c>
      <c r="C53" s="4">
        <f>SUM(C55:C68)</f>
        <v>52993.10999999999</v>
      </c>
      <c r="D53" s="4">
        <f>SUM(D55:D68)</f>
        <v>57871.05300000001</v>
      </c>
      <c r="E53" s="4">
        <f>SUM(E55:E68)</f>
        <v>102873.97700000001</v>
      </c>
      <c r="F53" s="4">
        <f aca="true" t="shared" si="7" ref="F53:K53">SUM(F55:F68)</f>
        <v>9084.962</v>
      </c>
      <c r="G53" s="4">
        <f t="shared" si="7"/>
        <v>22420.983000000004</v>
      </c>
      <c r="H53" s="4">
        <f t="shared" si="7"/>
        <v>2571.8450000000003</v>
      </c>
      <c r="I53" s="4">
        <f t="shared" si="7"/>
        <v>11425.002</v>
      </c>
      <c r="J53" s="4">
        <f t="shared" si="7"/>
        <v>10496.931</v>
      </c>
      <c r="K53" s="4">
        <f t="shared" si="7"/>
        <v>269737.863</v>
      </c>
      <c r="L53" s="2"/>
    </row>
    <row r="54" spans="1:12" ht="12.75">
      <c r="A54" s="6"/>
      <c r="B54" s="2"/>
      <c r="C54" s="4"/>
      <c r="D54" s="4"/>
      <c r="E54" s="4"/>
      <c r="F54" s="4"/>
      <c r="G54" s="4"/>
      <c r="H54" s="4"/>
      <c r="I54" s="4"/>
      <c r="J54" s="4"/>
      <c r="K54" s="4"/>
      <c r="L54" s="2"/>
    </row>
    <row r="55" spans="1:12" ht="12.75">
      <c r="A55" s="3" t="s">
        <v>62</v>
      </c>
      <c r="B55" s="1" t="s">
        <v>63</v>
      </c>
      <c r="C55" s="4">
        <f>4888682/1000</f>
        <v>4888.682</v>
      </c>
      <c r="D55" s="4">
        <f>5446435/1000</f>
        <v>5446.435</v>
      </c>
      <c r="E55" s="4">
        <f>11375496/1000</f>
        <v>11375.496</v>
      </c>
      <c r="F55" s="4">
        <f>1065920/1000</f>
        <v>1065.92</v>
      </c>
      <c r="G55" s="4">
        <f>2260067/1000</f>
        <v>2260.067</v>
      </c>
      <c r="H55" s="4">
        <f>184452/1000</f>
        <v>184.452</v>
      </c>
      <c r="I55" s="4">
        <v>177</v>
      </c>
      <c r="J55" s="4">
        <v>413</v>
      </c>
      <c r="K55" s="4">
        <f>SUM(C55:J55)</f>
        <v>25811.051999999996</v>
      </c>
      <c r="L55" s="2"/>
    </row>
    <row r="56" spans="1:12" ht="12.75">
      <c r="A56" s="3" t="s">
        <v>64</v>
      </c>
      <c r="B56" s="1" t="s">
        <v>65</v>
      </c>
      <c r="C56" s="4">
        <f>4588134/1000</f>
        <v>4588.134</v>
      </c>
      <c r="D56" s="4">
        <f>5212799/1000</f>
        <v>5212.799</v>
      </c>
      <c r="E56" s="4">
        <f>9947181/1000</f>
        <v>9947.181</v>
      </c>
      <c r="F56" s="4">
        <f>1484494/1000</f>
        <v>1484.494</v>
      </c>
      <c r="G56" s="4">
        <f>2088043/1000</f>
        <v>2088.043</v>
      </c>
      <c r="H56" s="4">
        <f>473728/1000</f>
        <v>473.728</v>
      </c>
      <c r="I56" s="4">
        <v>59</v>
      </c>
      <c r="J56" s="4">
        <f>1445793/1000</f>
        <v>1445.793</v>
      </c>
      <c r="K56" s="4">
        <f>SUM(C56:J56)</f>
        <v>25299.172000000002</v>
      </c>
      <c r="L56" s="2"/>
    </row>
    <row r="57" spans="1:12" ht="12.75">
      <c r="A57" s="3" t="s">
        <v>66</v>
      </c>
      <c r="B57" s="1" t="s">
        <v>67</v>
      </c>
      <c r="C57" s="4">
        <f>4654241/1000</f>
        <v>4654.241</v>
      </c>
      <c r="D57" s="4">
        <f>4859576/1000</f>
        <v>4859.576</v>
      </c>
      <c r="E57" s="4">
        <f>9313179/1000</f>
        <v>9313.179</v>
      </c>
      <c r="F57" s="4">
        <f>616724/1000</f>
        <v>616.724</v>
      </c>
      <c r="G57" s="4">
        <f>2038675/1000</f>
        <v>2038.675</v>
      </c>
      <c r="H57" s="4">
        <f>206441/1000</f>
        <v>206.441</v>
      </c>
      <c r="I57" s="4">
        <v>457</v>
      </c>
      <c r="J57" s="4">
        <f>1834373/1000</f>
        <v>1834.373</v>
      </c>
      <c r="K57" s="4">
        <f>SUM(C57:J57)</f>
        <v>23980.208999999995</v>
      </c>
      <c r="L57" s="2"/>
    </row>
    <row r="58" spans="1:12" ht="12.75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2"/>
    </row>
    <row r="59" spans="1:12" ht="12.75">
      <c r="A59" s="11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1" t="s">
        <v>69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3">
        <v>100</v>
      </c>
      <c r="B62" s="1" t="s">
        <v>70</v>
      </c>
      <c r="C62" s="4">
        <f>15206912/1000</f>
        <v>15206.912</v>
      </c>
      <c r="D62" s="4">
        <f>15355669/1000</f>
        <v>15355.669</v>
      </c>
      <c r="E62" s="4">
        <f>24502643/1000</f>
        <v>24502.643</v>
      </c>
      <c r="F62" s="4">
        <f>1524480/1000</f>
        <v>1524.48</v>
      </c>
      <c r="G62" s="4">
        <v>5841</v>
      </c>
      <c r="H62" s="4">
        <f>394854/1000</f>
        <v>394.854</v>
      </c>
      <c r="I62" s="4">
        <f>1809208/1000</f>
        <v>1809.208</v>
      </c>
      <c r="J62" s="4">
        <f>800974/1000</f>
        <v>800.974</v>
      </c>
      <c r="K62" s="4">
        <f aca="true" t="shared" si="8" ref="K62:K68">SUM(C62:J62)</f>
        <v>65435.740000000005</v>
      </c>
      <c r="L62" s="2"/>
    </row>
    <row r="63" spans="1:12" ht="12.75">
      <c r="A63" s="3">
        <v>120</v>
      </c>
      <c r="B63" s="1" t="s">
        <v>71</v>
      </c>
      <c r="C63" s="4">
        <f>1675616/1000</f>
        <v>1675.616</v>
      </c>
      <c r="D63" s="4">
        <f>2470156/1000</f>
        <v>2470.156</v>
      </c>
      <c r="E63" s="4">
        <f>3308691/1000</f>
        <v>3308.691</v>
      </c>
      <c r="F63" s="4">
        <f>255891/1000</f>
        <v>255.891</v>
      </c>
      <c r="G63" s="4">
        <v>1165</v>
      </c>
      <c r="H63" s="4">
        <f>228967/1000</f>
        <v>228.967</v>
      </c>
      <c r="I63" s="4">
        <f>367047/1000</f>
        <v>367.047</v>
      </c>
      <c r="J63" s="4">
        <f>344588/1000</f>
        <v>344.588</v>
      </c>
      <c r="K63" s="4">
        <f t="shared" si="8"/>
        <v>9815.956</v>
      </c>
      <c r="L63" s="2"/>
    </row>
    <row r="64" spans="1:12" ht="12.75">
      <c r="A64" s="3">
        <v>125</v>
      </c>
      <c r="B64" s="1" t="s">
        <v>72</v>
      </c>
      <c r="C64" s="4">
        <f>4954081/1000</f>
        <v>4954.081</v>
      </c>
      <c r="D64" s="4">
        <f>5489403/1000</f>
        <v>5489.403</v>
      </c>
      <c r="E64" s="4">
        <f>9030252/1000</f>
        <v>9030.252</v>
      </c>
      <c r="F64" s="4">
        <f>737253/1000</f>
        <v>737.253</v>
      </c>
      <c r="G64" s="4">
        <f>2324541/1000</f>
        <v>2324.541</v>
      </c>
      <c r="H64" s="4">
        <f>287546/1000</f>
        <v>287.546</v>
      </c>
      <c r="I64" s="4">
        <f>3893043/1000</f>
        <v>3893.043</v>
      </c>
      <c r="J64" s="4">
        <f>1125100/1000</f>
        <v>1125.1</v>
      </c>
      <c r="K64" s="4">
        <f t="shared" si="8"/>
        <v>27841.219</v>
      </c>
      <c r="L64" s="2"/>
    </row>
    <row r="65" spans="1:12" ht="12.75">
      <c r="A65" s="3">
        <v>187</v>
      </c>
      <c r="B65" s="1" t="s">
        <v>73</v>
      </c>
      <c r="C65" s="4">
        <f>4284682/1000</f>
        <v>4284.682</v>
      </c>
      <c r="D65" s="4">
        <f>4521720/1000</f>
        <v>4521.72</v>
      </c>
      <c r="E65" s="4">
        <f>9394353/1000</f>
        <v>9394.353</v>
      </c>
      <c r="F65" s="4">
        <f>714867/1000</f>
        <v>714.867</v>
      </c>
      <c r="G65" s="4">
        <f>2166745/1000</f>
        <v>2166.745</v>
      </c>
      <c r="H65" s="4">
        <f>128552/1000</f>
        <v>128.552</v>
      </c>
      <c r="I65" s="4">
        <f>110495/1000</f>
        <v>110.495</v>
      </c>
      <c r="J65" s="4">
        <f>96756/1000</f>
        <v>96.756</v>
      </c>
      <c r="K65" s="4">
        <f t="shared" si="8"/>
        <v>21418.169999999995</v>
      </c>
      <c r="L65" s="2"/>
    </row>
    <row r="66" spans="1:12" ht="12.75">
      <c r="A66" s="3">
        <v>195</v>
      </c>
      <c r="B66" s="1" t="s">
        <v>74</v>
      </c>
      <c r="C66" s="4">
        <f>2403420/1000</f>
        <v>2403.42</v>
      </c>
      <c r="D66" s="4">
        <f>2400838/1000</f>
        <v>2400.838</v>
      </c>
      <c r="E66" s="4">
        <f>2910748/1000</f>
        <v>2910.748</v>
      </c>
      <c r="F66" s="4">
        <f>339947/1000</f>
        <v>339.947</v>
      </c>
      <c r="G66" s="4">
        <f>814311/1000</f>
        <v>814.311</v>
      </c>
      <c r="H66" s="4">
        <f>93738/1000</f>
        <v>93.738</v>
      </c>
      <c r="I66" s="4">
        <f>609024/1000</f>
        <v>609.024</v>
      </c>
      <c r="J66" s="4">
        <f>359975/1000</f>
        <v>359.975</v>
      </c>
      <c r="K66" s="4">
        <f t="shared" si="8"/>
        <v>9932.000999999998</v>
      </c>
      <c r="L66" s="2"/>
    </row>
    <row r="67" spans="1:12" ht="12.75">
      <c r="A67" s="3">
        <v>222</v>
      </c>
      <c r="B67" s="1" t="s">
        <v>65</v>
      </c>
      <c r="C67" s="4">
        <f>6030998/1000</f>
        <v>6030.998</v>
      </c>
      <c r="D67" s="4">
        <f>7226407/1000</f>
        <v>7226.407</v>
      </c>
      <c r="E67" s="4">
        <f>13842271/1000</f>
        <v>13842.271</v>
      </c>
      <c r="F67" s="4">
        <f>1824557/1000</f>
        <v>1824.557</v>
      </c>
      <c r="G67" s="4">
        <f>2582147/1000</f>
        <v>2582.147</v>
      </c>
      <c r="H67" s="4">
        <f>418503/1000</f>
        <v>418.503</v>
      </c>
      <c r="I67" s="4">
        <f>3844534/1000</f>
        <v>3844.534</v>
      </c>
      <c r="J67" s="4">
        <f>1959375/1000</f>
        <v>1959.375</v>
      </c>
      <c r="K67" s="4">
        <f t="shared" si="8"/>
        <v>37728.792</v>
      </c>
      <c r="L67" s="2"/>
    </row>
    <row r="68" spans="1:12" ht="12.75">
      <c r="A68" s="3">
        <v>280</v>
      </c>
      <c r="B68" s="1" t="s">
        <v>75</v>
      </c>
      <c r="C68" s="4">
        <f>4306344/1000</f>
        <v>4306.344</v>
      </c>
      <c r="D68" s="4">
        <f>4888050/1000</f>
        <v>4888.05</v>
      </c>
      <c r="E68" s="4">
        <f>9249163/1000</f>
        <v>9249.163</v>
      </c>
      <c r="F68" s="4">
        <f>520829/1000</f>
        <v>520.829</v>
      </c>
      <c r="G68" s="4">
        <f>1140454/1000</f>
        <v>1140.454</v>
      </c>
      <c r="H68" s="4">
        <f>155064/1000</f>
        <v>155.064</v>
      </c>
      <c r="I68" s="4">
        <f>98651/1000</f>
        <v>98.651</v>
      </c>
      <c r="J68" s="4">
        <f>2116997/1000</f>
        <v>2116.997</v>
      </c>
      <c r="K68" s="4">
        <f t="shared" si="8"/>
        <v>22475.552000000003</v>
      </c>
      <c r="L68" s="2"/>
    </row>
    <row r="69" spans="1:12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6"/>
      <c r="B70" s="3" t="s">
        <v>76</v>
      </c>
      <c r="C70" s="4">
        <f>SUM(C72:C74)</f>
        <v>21768.684999999998</v>
      </c>
      <c r="D70" s="4">
        <f>SUM(D72:D74)</f>
        <v>28900.732</v>
      </c>
      <c r="E70" s="4">
        <f>SUM(E72:E74)</f>
        <v>50082.101</v>
      </c>
      <c r="F70" s="4">
        <f aca="true" t="shared" si="9" ref="F70:K70">SUM(F72:F74)</f>
        <v>5513.978</v>
      </c>
      <c r="G70" s="4">
        <f t="shared" si="9"/>
        <v>11022.066</v>
      </c>
      <c r="H70" s="4">
        <f t="shared" si="9"/>
        <v>1719.8629999999998</v>
      </c>
      <c r="I70" s="4">
        <f t="shared" si="9"/>
        <v>10855.176</v>
      </c>
      <c r="J70" s="4">
        <f t="shared" si="9"/>
        <v>1566.8870000000002</v>
      </c>
      <c r="K70" s="4">
        <f t="shared" si="9"/>
        <v>131429.48799999998</v>
      </c>
      <c r="L70" s="2"/>
    </row>
    <row r="71" spans="1:12" ht="12.75">
      <c r="A71" s="6"/>
      <c r="B71" s="2"/>
      <c r="C71" s="4"/>
      <c r="D71" s="4"/>
      <c r="E71" s="4"/>
      <c r="F71" s="4"/>
      <c r="G71" s="4"/>
      <c r="H71" s="4"/>
      <c r="I71" s="4"/>
      <c r="J71" s="4"/>
      <c r="K71" s="4"/>
      <c r="L71" s="2"/>
    </row>
    <row r="72" spans="1:12" ht="12.75">
      <c r="A72" s="3" t="s">
        <v>77</v>
      </c>
      <c r="B72" s="1" t="s">
        <v>78</v>
      </c>
      <c r="C72" s="4">
        <f>6514731/1000</f>
        <v>6514.731</v>
      </c>
      <c r="D72" s="4">
        <f>10310759/1000</f>
        <v>10310.759</v>
      </c>
      <c r="E72" s="4">
        <f>16707220/1000</f>
        <v>16707.22</v>
      </c>
      <c r="F72" s="4">
        <f>2418065/1000</f>
        <v>2418.065</v>
      </c>
      <c r="G72" s="4">
        <v>4599</v>
      </c>
      <c r="H72" s="4">
        <f>1230223/1000</f>
        <v>1230.223</v>
      </c>
      <c r="I72" s="4">
        <f>10150258/1000</f>
        <v>10150.258</v>
      </c>
      <c r="J72" s="4">
        <f>727965/1000</f>
        <v>727.965</v>
      </c>
      <c r="K72" s="4">
        <f>SUM(C72:J72)</f>
        <v>52658.221</v>
      </c>
      <c r="L72" s="2"/>
    </row>
    <row r="73" spans="1:12" ht="12.75">
      <c r="A73" s="3">
        <v>103</v>
      </c>
      <c r="B73" s="1" t="s">
        <v>79</v>
      </c>
      <c r="C73" s="4">
        <f>10284108/1000</f>
        <v>10284.108</v>
      </c>
      <c r="D73" s="4">
        <f>12057381/1000</f>
        <v>12057.381</v>
      </c>
      <c r="E73" s="4">
        <f>21678248/1000</f>
        <v>21678.248</v>
      </c>
      <c r="F73" s="4">
        <f>2081338/1000</f>
        <v>2081.338</v>
      </c>
      <c r="G73" s="4">
        <f>3423823/1000</f>
        <v>3423.823</v>
      </c>
      <c r="H73" s="4">
        <f>226319/1000</f>
        <v>226.319</v>
      </c>
      <c r="I73" s="4">
        <f>387723/1000</f>
        <v>387.723</v>
      </c>
      <c r="J73" s="4">
        <f>391329/1000</f>
        <v>391.329</v>
      </c>
      <c r="K73" s="4">
        <f>SUM(C73:J73)</f>
        <v>50530.269</v>
      </c>
      <c r="L73" s="2"/>
    </row>
    <row r="74" spans="1:12" ht="12.75">
      <c r="A74" s="3">
        <v>223</v>
      </c>
      <c r="B74" s="1" t="s">
        <v>78</v>
      </c>
      <c r="C74" s="4">
        <f>4969846/1000</f>
        <v>4969.846</v>
      </c>
      <c r="D74" s="4">
        <f>6532592/1000</f>
        <v>6532.592</v>
      </c>
      <c r="E74" s="4">
        <f>11696633/1000</f>
        <v>11696.633</v>
      </c>
      <c r="F74" s="4">
        <f>1014575/1000</f>
        <v>1014.575</v>
      </c>
      <c r="G74" s="4">
        <f>2999243/1000</f>
        <v>2999.243</v>
      </c>
      <c r="H74" s="4">
        <f>263321/1000</f>
        <v>263.321</v>
      </c>
      <c r="I74" s="4">
        <f>317195/1000</f>
        <v>317.195</v>
      </c>
      <c r="J74" s="4">
        <f>447593/1000</f>
        <v>447.593</v>
      </c>
      <c r="K74" s="4">
        <f>SUM(C74:J74)</f>
        <v>28240.997999999996</v>
      </c>
      <c r="L74" s="2"/>
    </row>
    <row r="75" spans="1:12" ht="12.75">
      <c r="A75" s="6"/>
      <c r="B75" s="2"/>
      <c r="C75" s="4"/>
      <c r="D75" s="4"/>
      <c r="E75" s="4"/>
      <c r="F75" s="4"/>
      <c r="G75" s="4"/>
      <c r="H75" s="4"/>
      <c r="I75" s="4"/>
      <c r="J75" s="4"/>
      <c r="K75" s="4"/>
      <c r="L75" s="2"/>
    </row>
    <row r="76" spans="1:12" ht="12.75">
      <c r="A76" s="6"/>
      <c r="B76" s="3" t="s">
        <v>80</v>
      </c>
      <c r="C76" s="4">
        <f>SUM(C78:C87)</f>
        <v>59382.671</v>
      </c>
      <c r="D76" s="4">
        <f>SUM(D78:D87)</f>
        <v>43719.662</v>
      </c>
      <c r="E76" s="4">
        <f>SUM(E78:E87)</f>
        <v>78305.161</v>
      </c>
      <c r="F76" s="4">
        <f aca="true" t="shared" si="10" ref="F76:K76">SUM(F78:F87)</f>
        <v>18478.064</v>
      </c>
      <c r="G76" s="4">
        <f t="shared" si="10"/>
        <v>28828.293999999994</v>
      </c>
      <c r="H76" s="4">
        <f t="shared" si="10"/>
        <v>2310.272</v>
      </c>
      <c r="I76" s="4">
        <f t="shared" si="10"/>
        <v>5491.021</v>
      </c>
      <c r="J76" s="4">
        <f t="shared" si="10"/>
        <v>13529.616000000002</v>
      </c>
      <c r="K76" s="4">
        <f t="shared" si="10"/>
        <v>250044.761</v>
      </c>
      <c r="L76" s="2"/>
    </row>
    <row r="77" spans="1:12" ht="12.75">
      <c r="A77" s="6"/>
      <c r="B77" s="2"/>
      <c r="C77" s="4"/>
      <c r="D77" s="4"/>
      <c r="E77" s="4"/>
      <c r="F77" s="4"/>
      <c r="G77" s="4"/>
      <c r="H77" s="4"/>
      <c r="I77" s="4"/>
      <c r="J77" s="4"/>
      <c r="K77" s="4"/>
      <c r="L77" s="2"/>
    </row>
    <row r="78" spans="1:12" ht="12.75">
      <c r="A78" s="3" t="s">
        <v>81</v>
      </c>
      <c r="B78" s="1" t="s">
        <v>82</v>
      </c>
      <c r="C78" s="4">
        <f>5978611/1000</f>
        <v>5978.611</v>
      </c>
      <c r="D78" s="4">
        <f>3678744/1000</f>
        <v>3678.744</v>
      </c>
      <c r="E78" s="4">
        <f>8441797/1000</f>
        <v>8441.797</v>
      </c>
      <c r="F78" s="4">
        <f>4297251/1000</f>
        <v>4297.251</v>
      </c>
      <c r="G78" s="4">
        <f>3061869/1000</f>
        <v>3061.869</v>
      </c>
      <c r="H78" s="4">
        <f>347006/1000</f>
        <v>347.006</v>
      </c>
      <c r="I78" s="4">
        <f>254780/1000</f>
        <v>254.78</v>
      </c>
      <c r="J78" s="4">
        <f>1277296/1000</f>
        <v>1277.296</v>
      </c>
      <c r="K78" s="4">
        <f aca="true" t="shared" si="11" ref="K78:K87">SUM(C78:J78)</f>
        <v>27337.354</v>
      </c>
      <c r="L78" s="2"/>
    </row>
    <row r="79" spans="1:12" ht="12.75">
      <c r="A79" s="3" t="s">
        <v>83</v>
      </c>
      <c r="B79" s="1" t="s">
        <v>84</v>
      </c>
      <c r="C79" s="4">
        <f>9614338/1000</f>
        <v>9614.338</v>
      </c>
      <c r="D79" s="4">
        <f>8412772/1000</f>
        <v>8412.772</v>
      </c>
      <c r="E79" s="4">
        <f>11779964/1000</f>
        <v>11779.964</v>
      </c>
      <c r="F79" s="4">
        <f>2719361/1000</f>
        <v>2719.361</v>
      </c>
      <c r="G79" s="4">
        <f>5323545/1000</f>
        <v>5323.545</v>
      </c>
      <c r="H79" s="4">
        <f>161083/1000</f>
        <v>161.083</v>
      </c>
      <c r="I79" s="4">
        <f>98646/1000</f>
        <v>98.646</v>
      </c>
      <c r="J79" s="4">
        <f>2435167/1000</f>
        <v>2435.167</v>
      </c>
      <c r="K79" s="4">
        <f t="shared" si="11"/>
        <v>40544.876000000004</v>
      </c>
      <c r="L79" s="2"/>
    </row>
    <row r="80" spans="1:12" ht="12.75">
      <c r="A80" s="3" t="s">
        <v>85</v>
      </c>
      <c r="B80" s="1" t="s">
        <v>86</v>
      </c>
      <c r="C80" s="4">
        <f>6019741/1000</f>
        <v>6019.741</v>
      </c>
      <c r="D80" s="4">
        <f>4374749/1000</f>
        <v>4374.749</v>
      </c>
      <c r="E80" s="4">
        <f>7192239/1000</f>
        <v>7192.239</v>
      </c>
      <c r="F80" s="4">
        <f>1781882/1000</f>
        <v>1781.882</v>
      </c>
      <c r="G80" s="4">
        <f>2615995/1000</f>
        <v>2615.995</v>
      </c>
      <c r="H80" s="4">
        <f>147501/1000</f>
        <v>147.501</v>
      </c>
      <c r="I80" s="4">
        <f>224355/1000</f>
        <v>224.355</v>
      </c>
      <c r="J80" s="4">
        <f>735711/1000</f>
        <v>735.711</v>
      </c>
      <c r="K80" s="4">
        <f t="shared" si="11"/>
        <v>23092.173</v>
      </c>
      <c r="L80" s="2"/>
    </row>
    <row r="81" spans="1:12" ht="12.75">
      <c r="A81" s="3" t="s">
        <v>87</v>
      </c>
      <c r="B81" s="1" t="s">
        <v>88</v>
      </c>
      <c r="C81" s="4">
        <f>8784531/1000</f>
        <v>8784.531</v>
      </c>
      <c r="D81" s="4">
        <f>7133915/1000</f>
        <v>7133.915</v>
      </c>
      <c r="E81" s="4">
        <f>12030797/1000</f>
        <v>12030.797</v>
      </c>
      <c r="F81" s="4">
        <f>2243291/1000</f>
        <v>2243.291</v>
      </c>
      <c r="G81" s="4">
        <f>3797622/1000</f>
        <v>3797.622</v>
      </c>
      <c r="H81" s="4">
        <f>291890/1000</f>
        <v>291.89</v>
      </c>
      <c r="I81" s="4">
        <f>106828/1000</f>
        <v>106.828</v>
      </c>
      <c r="J81" s="4">
        <f>3256408/1000</f>
        <v>3256.408</v>
      </c>
      <c r="K81" s="4">
        <f t="shared" si="11"/>
        <v>37645.28200000001</v>
      </c>
      <c r="L81" s="2"/>
    </row>
    <row r="82" spans="1:12" ht="12.75">
      <c r="A82" s="3">
        <v>147</v>
      </c>
      <c r="B82" s="1" t="s">
        <v>89</v>
      </c>
      <c r="C82" s="4">
        <f>6409971/1000</f>
        <v>6409.971</v>
      </c>
      <c r="D82" s="4">
        <f>5423899/1000</f>
        <v>5423.899</v>
      </c>
      <c r="E82" s="4">
        <f>9972194/1000</f>
        <v>9972.194</v>
      </c>
      <c r="F82" s="4">
        <f>1549357/1000</f>
        <v>1549.357</v>
      </c>
      <c r="G82" s="4">
        <f>3905247/1000</f>
        <v>3905.247</v>
      </c>
      <c r="H82" s="4">
        <f>438070/1000</f>
        <v>438.07</v>
      </c>
      <c r="I82" s="4">
        <f>4042402/1000</f>
        <v>4042.402</v>
      </c>
      <c r="J82" s="4">
        <f>1131244/1000</f>
        <v>1131.244</v>
      </c>
      <c r="K82" s="4">
        <f t="shared" si="11"/>
        <v>32872.384</v>
      </c>
      <c r="L82" s="2"/>
    </row>
    <row r="83" spans="1:12" ht="12.75">
      <c r="A83" s="3">
        <v>165</v>
      </c>
      <c r="B83" s="1" t="s">
        <v>90</v>
      </c>
      <c r="C83" s="4">
        <f>3232448/1000</f>
        <v>3232.448</v>
      </c>
      <c r="D83" s="4">
        <f>1861576/1000</f>
        <v>1861.576</v>
      </c>
      <c r="E83" s="4">
        <f>4380256/1000</f>
        <v>4380.256</v>
      </c>
      <c r="F83" s="4">
        <f>1508291/1000</f>
        <v>1508.291</v>
      </c>
      <c r="G83" s="4">
        <f>1875139/1000</f>
        <v>1875.139</v>
      </c>
      <c r="H83" s="4">
        <f>170573/1000</f>
        <v>170.573</v>
      </c>
      <c r="I83" s="4">
        <f>69923/1000</f>
        <v>69.923</v>
      </c>
      <c r="J83" s="4">
        <f>930877/1000</f>
        <v>930.877</v>
      </c>
      <c r="K83" s="4">
        <f t="shared" si="11"/>
        <v>14029.082999999999</v>
      </c>
      <c r="L83" s="2"/>
    </row>
    <row r="84" spans="1:12" ht="12.75">
      <c r="A84" s="3">
        <v>214</v>
      </c>
      <c r="B84" s="1" t="s">
        <v>91</v>
      </c>
      <c r="C84" s="4">
        <f>6304924/1000</f>
        <v>6304.924</v>
      </c>
      <c r="D84" s="4">
        <f>3686775/1000</f>
        <v>3686.775</v>
      </c>
      <c r="E84" s="4">
        <f>7949230/1000</f>
        <v>7949.23</v>
      </c>
      <c r="F84" s="4">
        <f>1125306/1000</f>
        <v>1125.306</v>
      </c>
      <c r="G84" s="4">
        <f>2035119/1000</f>
        <v>2035.119</v>
      </c>
      <c r="H84" s="4">
        <f>149655/1000</f>
        <v>149.655</v>
      </c>
      <c r="I84" s="4">
        <f>89140/1000</f>
        <v>89.14</v>
      </c>
      <c r="J84" s="4">
        <f>988296/1000</f>
        <v>988.296</v>
      </c>
      <c r="K84" s="4">
        <f t="shared" si="11"/>
        <v>22328.444999999996</v>
      </c>
      <c r="L84" s="2"/>
    </row>
    <row r="85" spans="1:12" ht="12.75">
      <c r="A85" s="3">
        <v>215</v>
      </c>
      <c r="B85" s="1" t="s">
        <v>92</v>
      </c>
      <c r="C85" s="4">
        <f>3916684/1000</f>
        <v>3916.684</v>
      </c>
      <c r="D85" s="4">
        <f>2619007/1000</f>
        <v>2619.007</v>
      </c>
      <c r="E85" s="4">
        <f>4399728/1000</f>
        <v>4399.728</v>
      </c>
      <c r="F85" s="4">
        <f>1290252/1000</f>
        <v>1290.252</v>
      </c>
      <c r="G85" s="4">
        <f>2407351/1000</f>
        <v>2407.351</v>
      </c>
      <c r="H85" s="4">
        <f>222696/1000</f>
        <v>222.696</v>
      </c>
      <c r="I85" s="4">
        <f>231489/1000</f>
        <v>231.489</v>
      </c>
      <c r="J85" s="4">
        <f>595964/1000</f>
        <v>595.964</v>
      </c>
      <c r="K85" s="4">
        <f t="shared" si="11"/>
        <v>15683.171000000002</v>
      </c>
      <c r="L85" s="2"/>
    </row>
    <row r="86" spans="1:12" ht="12.75">
      <c r="A86" s="3">
        <v>224</v>
      </c>
      <c r="B86" s="1" t="s">
        <v>82</v>
      </c>
      <c r="C86" s="4">
        <f>4657834/1000</f>
        <v>4657.834</v>
      </c>
      <c r="D86" s="4">
        <f>2639147/1000</f>
        <v>2639.147</v>
      </c>
      <c r="E86" s="4">
        <f>5865503/1000</f>
        <v>5865.503</v>
      </c>
      <c r="F86" s="4">
        <f>750144/1000</f>
        <v>750.144</v>
      </c>
      <c r="G86" s="4">
        <f>1913074/1000</f>
        <v>1913.074</v>
      </c>
      <c r="H86" s="4">
        <f>119280/1000</f>
        <v>119.28</v>
      </c>
      <c r="I86" s="4">
        <f>246004/1000</f>
        <v>246.004</v>
      </c>
      <c r="J86" s="4">
        <f>640583/1000</f>
        <v>640.583</v>
      </c>
      <c r="K86" s="4">
        <f t="shared" si="11"/>
        <v>16831.569000000003</v>
      </c>
      <c r="L86" s="2"/>
    </row>
    <row r="87" spans="1:12" ht="12.75">
      <c r="A87" s="3">
        <v>286</v>
      </c>
      <c r="B87" s="1" t="s">
        <v>93</v>
      </c>
      <c r="C87" s="4">
        <f>4463589/1000</f>
        <v>4463.589</v>
      </c>
      <c r="D87" s="4">
        <f>3889078/1000</f>
        <v>3889.078</v>
      </c>
      <c r="E87" s="4">
        <f>6293453/1000</f>
        <v>6293.453</v>
      </c>
      <c r="F87" s="4">
        <f>1212929/1000</f>
        <v>1212.929</v>
      </c>
      <c r="G87" s="4">
        <f>1893333/1000</f>
        <v>1893.333</v>
      </c>
      <c r="H87" s="4">
        <f>262518/1000</f>
        <v>262.518</v>
      </c>
      <c r="I87" s="4">
        <f>127454/1000</f>
        <v>127.454</v>
      </c>
      <c r="J87" s="4">
        <f>1538070/1000</f>
        <v>1538.07</v>
      </c>
      <c r="K87" s="4">
        <f t="shared" si="11"/>
        <v>19680.424</v>
      </c>
      <c r="L87" s="2"/>
    </row>
    <row r="88" spans="1:12" ht="12.75">
      <c r="A88" s="6"/>
      <c r="B88" s="2"/>
      <c r="C88" s="4"/>
      <c r="D88" s="4"/>
      <c r="E88" s="4"/>
      <c r="F88" s="4"/>
      <c r="G88" s="4"/>
      <c r="H88" s="4"/>
      <c r="I88" s="4"/>
      <c r="J88" s="4"/>
      <c r="K88" s="4"/>
      <c r="L88" s="2"/>
    </row>
    <row r="89" spans="1:12" ht="12.75">
      <c r="A89" s="6"/>
      <c r="B89" s="3" t="s">
        <v>94</v>
      </c>
      <c r="C89" s="4">
        <f>SUM(C91:C102)</f>
        <v>54481.445999999996</v>
      </c>
      <c r="D89" s="4">
        <f>SUM(D91:D102)</f>
        <v>90358.35999999999</v>
      </c>
      <c r="E89" s="4">
        <f>SUM(E91:E102)</f>
        <v>112923.199</v>
      </c>
      <c r="F89" s="4">
        <f aca="true" t="shared" si="12" ref="F89:K89">SUM(F91:F102)</f>
        <v>11509.356000000002</v>
      </c>
      <c r="G89" s="4">
        <f t="shared" si="12"/>
        <v>34955.070999999996</v>
      </c>
      <c r="H89" s="4">
        <f t="shared" si="12"/>
        <v>5668.453</v>
      </c>
      <c r="I89" s="4">
        <f t="shared" si="12"/>
        <v>112190.51100000001</v>
      </c>
      <c r="J89" s="4">
        <f t="shared" si="12"/>
        <v>18690.502</v>
      </c>
      <c r="K89" s="4">
        <f t="shared" si="12"/>
        <v>440776.89800000004</v>
      </c>
      <c r="L89" s="2"/>
    </row>
    <row r="90" spans="1:12" ht="12.75">
      <c r="A90" s="6"/>
      <c r="B90" s="2"/>
      <c r="C90" s="4"/>
      <c r="D90" s="4"/>
      <c r="E90" s="4"/>
      <c r="F90" s="4"/>
      <c r="G90" s="4"/>
      <c r="H90" s="4"/>
      <c r="I90" s="4"/>
      <c r="J90" s="4"/>
      <c r="K90" s="4"/>
      <c r="L90" s="2"/>
    </row>
    <row r="91" spans="1:12" ht="12.75">
      <c r="A91" s="3" t="s">
        <v>95</v>
      </c>
      <c r="B91" s="1" t="s">
        <v>96</v>
      </c>
      <c r="C91" s="4">
        <f>5490416/1000</f>
        <v>5490.416</v>
      </c>
      <c r="D91" s="4">
        <f>10054524/1000</f>
        <v>10054.524</v>
      </c>
      <c r="E91" s="4">
        <f>11368900/1000</f>
        <v>11368.9</v>
      </c>
      <c r="F91" s="4">
        <f>1095753/1000</f>
        <v>1095.753</v>
      </c>
      <c r="G91" s="4">
        <f>3980762/1000</f>
        <v>3980.762</v>
      </c>
      <c r="H91" s="4">
        <f>904566/1000</f>
        <v>904.566</v>
      </c>
      <c r="I91" s="4">
        <f>17803610/1000</f>
        <v>17803.61</v>
      </c>
      <c r="J91" s="4">
        <f>1117611/1000</f>
        <v>1117.611</v>
      </c>
      <c r="K91" s="4">
        <f aca="true" t="shared" si="13" ref="K91:K102">SUM(C91:J91)</f>
        <v>51816.14199999999</v>
      </c>
      <c r="L91" s="2"/>
    </row>
    <row r="92" spans="1:12" ht="12.75">
      <c r="A92" s="3" t="s">
        <v>97</v>
      </c>
      <c r="B92" s="1" t="s">
        <v>98</v>
      </c>
      <c r="C92" s="4">
        <f>4012407/1000</f>
        <v>4012.407</v>
      </c>
      <c r="D92" s="4">
        <f>7356315/1000</f>
        <v>7356.315</v>
      </c>
      <c r="E92" s="4">
        <f>7863324/1000</f>
        <v>7863.324</v>
      </c>
      <c r="F92" s="4">
        <f>850151/1000</f>
        <v>850.151</v>
      </c>
      <c r="G92" s="4">
        <f>2786584/1000</f>
        <v>2786.584</v>
      </c>
      <c r="H92" s="4">
        <f>86617/1000</f>
        <v>86.617</v>
      </c>
      <c r="I92" s="4">
        <v>12.616</v>
      </c>
      <c r="J92" s="4">
        <f>928860/1000</f>
        <v>928.86</v>
      </c>
      <c r="K92" s="4">
        <f t="shared" si="13"/>
        <v>23896.874</v>
      </c>
      <c r="L92" s="2"/>
    </row>
    <row r="93" spans="1:12" ht="12.75">
      <c r="A93" s="3" t="s">
        <v>99</v>
      </c>
      <c r="B93" s="1" t="s">
        <v>100</v>
      </c>
      <c r="C93" s="4">
        <f>6292905/1000</f>
        <v>6292.905</v>
      </c>
      <c r="D93" s="4">
        <f>10571039/1000</f>
        <v>10571.039</v>
      </c>
      <c r="E93" s="4">
        <f>14171125/1000</f>
        <v>14171.125</v>
      </c>
      <c r="F93" s="4">
        <f>1088304/1000</f>
        <v>1088.304</v>
      </c>
      <c r="G93" s="4">
        <f>2127048/1000</f>
        <v>2127.048</v>
      </c>
      <c r="H93" s="4">
        <f>582879/1000</f>
        <v>582.879</v>
      </c>
      <c r="I93" s="4">
        <f>15690045/1000</f>
        <v>15690.045</v>
      </c>
      <c r="J93" s="4">
        <f>828449/1000</f>
        <v>828.449</v>
      </c>
      <c r="K93" s="4">
        <f t="shared" si="13"/>
        <v>51351.794</v>
      </c>
      <c r="L93" s="2"/>
    </row>
    <row r="94" spans="1:12" ht="12.75">
      <c r="A94" s="3" t="s">
        <v>101</v>
      </c>
      <c r="B94" s="1" t="s">
        <v>102</v>
      </c>
      <c r="C94" s="4">
        <f>8839485/1000</f>
        <v>8839.485</v>
      </c>
      <c r="D94" s="4">
        <f>13992188/1000</f>
        <v>13992.188</v>
      </c>
      <c r="E94" s="4">
        <f>16594245/1000</f>
        <v>16594.245</v>
      </c>
      <c r="F94" s="4">
        <f>2587204/1000</f>
        <v>2587.204</v>
      </c>
      <c r="G94" s="4">
        <f>7926392/1000</f>
        <v>7926.392</v>
      </c>
      <c r="H94" s="4">
        <f>1771329/1000</f>
        <v>1771.329</v>
      </c>
      <c r="I94" s="4">
        <f>27618207/1000</f>
        <v>27618.207</v>
      </c>
      <c r="J94" s="4">
        <f>3611374/1000</f>
        <v>3611.374</v>
      </c>
      <c r="K94" s="4">
        <f t="shared" si="13"/>
        <v>82940.424</v>
      </c>
      <c r="L94" s="2"/>
    </row>
    <row r="95" spans="1:12" ht="12.75">
      <c r="A95" s="3">
        <v>102</v>
      </c>
      <c r="B95" s="1" t="s">
        <v>103</v>
      </c>
      <c r="C95" s="4">
        <f>2916138/1000</f>
        <v>2916.138</v>
      </c>
      <c r="D95" s="4">
        <f>5646579/1000</f>
        <v>5646.579</v>
      </c>
      <c r="E95" s="4">
        <f>7682896/1000</f>
        <v>7682.896</v>
      </c>
      <c r="F95" s="4">
        <f>344599/1000</f>
        <v>344.599</v>
      </c>
      <c r="G95" s="4">
        <f>2328752/1000</f>
        <v>2328.752</v>
      </c>
      <c r="H95" s="4">
        <f>376048/1000</f>
        <v>376.048</v>
      </c>
      <c r="I95" s="4">
        <f>8711186/1000</f>
        <v>8711.186</v>
      </c>
      <c r="J95" s="4">
        <f>2157119/1000</f>
        <v>2157.119</v>
      </c>
      <c r="K95" s="4">
        <f t="shared" si="13"/>
        <v>30163.316999999995</v>
      </c>
      <c r="L95" s="2"/>
    </row>
    <row r="96" spans="1:12" ht="12.75">
      <c r="A96" s="3">
        <v>112</v>
      </c>
      <c r="B96" s="1" t="s">
        <v>104</v>
      </c>
      <c r="C96" s="4">
        <f>4257020/1000</f>
        <v>4257.02</v>
      </c>
      <c r="D96" s="4">
        <f>6442136/1000</f>
        <v>6442.136</v>
      </c>
      <c r="E96" s="4">
        <f>9111397/1000</f>
        <v>9111.397</v>
      </c>
      <c r="F96" s="4">
        <f>933477/1000</f>
        <v>933.477</v>
      </c>
      <c r="G96" s="4">
        <f>3405342/1000</f>
        <v>3405.342</v>
      </c>
      <c r="H96" s="4">
        <f>452434/1000</f>
        <v>452.434</v>
      </c>
      <c r="I96" s="4">
        <f>7471364/1000</f>
        <v>7471.364</v>
      </c>
      <c r="J96" s="4">
        <f>1951608/1000</f>
        <v>1951.608</v>
      </c>
      <c r="K96" s="4">
        <f t="shared" si="13"/>
        <v>34024.778</v>
      </c>
      <c r="L96" s="2"/>
    </row>
    <row r="97" spans="1:12" ht="12.75">
      <c r="A97" s="3">
        <v>156</v>
      </c>
      <c r="B97" s="1" t="s">
        <v>105</v>
      </c>
      <c r="C97" s="4">
        <f>3590505/1000</f>
        <v>3590.505</v>
      </c>
      <c r="D97" s="4">
        <f>5090366/1000</f>
        <v>5090.366</v>
      </c>
      <c r="E97" s="4">
        <f>7389504/1000</f>
        <v>7389.504</v>
      </c>
      <c r="F97" s="4">
        <f>588013/1000</f>
        <v>588.013</v>
      </c>
      <c r="G97" s="4">
        <f>2281627/1000</f>
        <v>2281.627</v>
      </c>
      <c r="H97" s="4">
        <f>463894/1000</f>
        <v>463.894</v>
      </c>
      <c r="I97" s="4">
        <f>8893060/1000</f>
        <v>8893.06</v>
      </c>
      <c r="J97" s="4">
        <f>2001023/1000</f>
        <v>2001.023</v>
      </c>
      <c r="K97" s="4">
        <f t="shared" si="13"/>
        <v>30297.992</v>
      </c>
      <c r="L97" s="2"/>
    </row>
    <row r="98" spans="1:12" ht="12.75">
      <c r="A98" s="3">
        <v>188</v>
      </c>
      <c r="B98" s="1" t="s">
        <v>106</v>
      </c>
      <c r="C98" s="4">
        <f>6596036/1000</f>
        <v>6596.036</v>
      </c>
      <c r="D98" s="4">
        <f>13319044/1000</f>
        <v>13319.044</v>
      </c>
      <c r="E98" s="4">
        <f>20022594/1000</f>
        <v>20022.594</v>
      </c>
      <c r="F98" s="4">
        <f>2608828/1000</f>
        <v>2608.828</v>
      </c>
      <c r="G98" s="4">
        <f>5085205/1000</f>
        <v>5085.205</v>
      </c>
      <c r="H98" s="4">
        <f>315540/1000</f>
        <v>315.54</v>
      </c>
      <c r="I98" s="4">
        <f>1581320/1000</f>
        <v>1581.32</v>
      </c>
      <c r="J98" s="4">
        <f>1721521/1000</f>
        <v>1721.521</v>
      </c>
      <c r="K98" s="4">
        <f t="shared" si="13"/>
        <v>51250.088</v>
      </c>
      <c r="L98" s="2"/>
    </row>
    <row r="99" spans="1:12" ht="12.75">
      <c r="A99" s="3">
        <v>192</v>
      </c>
      <c r="B99" s="1" t="s">
        <v>107</v>
      </c>
      <c r="C99" s="4">
        <f>6552985/1000</f>
        <v>6552.985</v>
      </c>
      <c r="D99" s="4">
        <f>9173442/1000</f>
        <v>9173.442</v>
      </c>
      <c r="E99" s="4">
        <f>9175739/1000</f>
        <v>9175.739</v>
      </c>
      <c r="F99" s="4">
        <f>742831/1000</f>
        <v>742.831</v>
      </c>
      <c r="G99" s="4">
        <f>3415585/1000</f>
        <v>3415.585</v>
      </c>
      <c r="H99" s="4">
        <f>496838/1000</f>
        <v>496.838</v>
      </c>
      <c r="I99" s="4">
        <f>18470709/1000</f>
        <v>18470.709</v>
      </c>
      <c r="J99" s="4">
        <f>1572146/1000</f>
        <v>1572.146</v>
      </c>
      <c r="K99" s="4">
        <f t="shared" si="13"/>
        <v>49600.274999999994</v>
      </c>
      <c r="L99" s="2"/>
    </row>
    <row r="100" spans="1:12" ht="12.75">
      <c r="A100" s="3">
        <v>193</v>
      </c>
      <c r="B100" s="1" t="s">
        <v>108</v>
      </c>
      <c r="C100" s="4">
        <f>2947720/1000</f>
        <v>2947.72</v>
      </c>
      <c r="D100" s="4">
        <f>4818220/1000</f>
        <v>4818.22</v>
      </c>
      <c r="E100" s="4">
        <f>4013858/1000</f>
        <v>4013.858</v>
      </c>
      <c r="F100" s="4">
        <f>260325/1000</f>
        <v>260.325</v>
      </c>
      <c r="G100" s="4">
        <f>519030/1000</f>
        <v>519.03</v>
      </c>
      <c r="H100" s="4">
        <f>47627/1000</f>
        <v>47.627</v>
      </c>
      <c r="I100" s="4">
        <f>2931419/1000</f>
        <v>2931.419</v>
      </c>
      <c r="J100" s="4">
        <f>1857473/1000</f>
        <v>1857.473</v>
      </c>
      <c r="K100" s="4">
        <f t="shared" si="13"/>
        <v>17395.672000000002</v>
      </c>
      <c r="L100" s="2"/>
    </row>
    <row r="101" spans="1:12" ht="12.75">
      <c r="A101" s="3">
        <v>225</v>
      </c>
      <c r="B101" s="1" t="s">
        <v>106</v>
      </c>
      <c r="C101" s="4">
        <f>1551608/1000</f>
        <v>1551.608</v>
      </c>
      <c r="D101" s="4">
        <f>1768049/1000</f>
        <v>1768.049</v>
      </c>
      <c r="E101" s="4">
        <f>3237504/1000</f>
        <v>3237.504</v>
      </c>
      <c r="F101" s="4">
        <f>147609/1000</f>
        <v>147.609</v>
      </c>
      <c r="G101" s="4">
        <f>425653/1000</f>
        <v>425.653</v>
      </c>
      <c r="H101" s="4">
        <f>60654/1000</f>
        <v>60.654</v>
      </c>
      <c r="I101" s="4">
        <f>506092/1000</f>
        <v>506.092</v>
      </c>
      <c r="J101" s="4">
        <f>170595/1000</f>
        <v>170.595</v>
      </c>
      <c r="K101" s="4">
        <f t="shared" si="13"/>
        <v>7867.764000000001</v>
      </c>
      <c r="L101" s="2"/>
    </row>
    <row r="102" spans="1:12" ht="12.75">
      <c r="A102" s="3">
        <v>258</v>
      </c>
      <c r="B102" s="1" t="s">
        <v>109</v>
      </c>
      <c r="C102" s="4">
        <f>1434221/1000</f>
        <v>1434.221</v>
      </c>
      <c r="D102" s="4">
        <f>2126458/1000</f>
        <v>2126.458</v>
      </c>
      <c r="E102" s="4">
        <f>2292113/1000</f>
        <v>2292.113</v>
      </c>
      <c r="F102" s="4">
        <f>262262/1000</f>
        <v>262.262</v>
      </c>
      <c r="G102" s="4">
        <f>673091/1000</f>
        <v>673.091</v>
      </c>
      <c r="H102" s="4">
        <f>110027/1000</f>
        <v>110.027</v>
      </c>
      <c r="I102" s="4">
        <f>2500883/1000</f>
        <v>2500.883</v>
      </c>
      <c r="J102" s="4">
        <f>772723/1000</f>
        <v>772.723</v>
      </c>
      <c r="K102" s="4">
        <f t="shared" si="13"/>
        <v>10171.778</v>
      </c>
      <c r="L102" s="2"/>
    </row>
    <row r="103" spans="1:12" ht="12.75">
      <c r="A103" s="6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2"/>
    </row>
    <row r="104" spans="1:12" ht="12.75">
      <c r="A104" s="6"/>
      <c r="B104" s="3" t="s">
        <v>110</v>
      </c>
      <c r="C104" s="4">
        <f>SUM(C106:C126)</f>
        <v>249420.438</v>
      </c>
      <c r="D104" s="4">
        <f>SUM(D106:D126)</f>
        <v>369553.04600000003</v>
      </c>
      <c r="E104" s="4">
        <f>SUM(E106:E126)</f>
        <v>570167.066</v>
      </c>
      <c r="F104" s="4">
        <f aca="true" t="shared" si="14" ref="F104:K104">SUM(F106:F126)</f>
        <v>157144.21399999998</v>
      </c>
      <c r="G104" s="4">
        <f t="shared" si="14"/>
        <v>179269.07900000003</v>
      </c>
      <c r="H104" s="4">
        <f t="shared" si="14"/>
        <v>106736.26299999998</v>
      </c>
      <c r="I104" s="4">
        <f t="shared" si="14"/>
        <v>195196.89100000003</v>
      </c>
      <c r="J104" s="4">
        <f t="shared" si="14"/>
        <v>42102.276</v>
      </c>
      <c r="K104" s="4">
        <f t="shared" si="14"/>
        <v>1869589.2729999998</v>
      </c>
      <c r="L104" s="2"/>
    </row>
    <row r="105" spans="1:12" ht="12.75">
      <c r="A105" s="6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2"/>
    </row>
    <row r="106" spans="1:12" ht="12.75">
      <c r="A106" s="3" t="s">
        <v>111</v>
      </c>
      <c r="B106" s="1" t="s">
        <v>112</v>
      </c>
      <c r="C106" s="4">
        <f>3515943/1000</f>
        <v>3515.943</v>
      </c>
      <c r="D106" s="4">
        <f>3916329/1000</f>
        <v>3916.329</v>
      </c>
      <c r="E106" s="4">
        <f>6003033/1000</f>
        <v>6003.033</v>
      </c>
      <c r="F106" s="4">
        <f>658401/1000</f>
        <v>658.401</v>
      </c>
      <c r="G106" s="4">
        <f>2205277/1000</f>
        <v>2205.277</v>
      </c>
      <c r="H106" s="4">
        <f>393624/1000</f>
        <v>393.624</v>
      </c>
      <c r="I106" s="4">
        <f>1125336/1000</f>
        <v>1125.336</v>
      </c>
      <c r="J106" s="4">
        <f>1067028/1000</f>
        <v>1067.028</v>
      </c>
      <c r="K106" s="4">
        <f>SUM(C106:J106)</f>
        <v>18884.970999999998</v>
      </c>
      <c r="L106" s="2"/>
    </row>
    <row r="107" spans="1:12" ht="12.75">
      <c r="A107" s="3" t="s">
        <v>113</v>
      </c>
      <c r="B107" s="1" t="s">
        <v>114</v>
      </c>
      <c r="C107" s="4">
        <f>3952501/1000</f>
        <v>3952.501</v>
      </c>
      <c r="D107" s="4">
        <f>5352842/1000</f>
        <v>5352.842</v>
      </c>
      <c r="E107" s="4">
        <f>8111625/1000</f>
        <v>8111.625</v>
      </c>
      <c r="F107" s="4">
        <f>585610/1000</f>
        <v>585.61</v>
      </c>
      <c r="G107" s="4">
        <f>1702940/1000</f>
        <v>1702.94</v>
      </c>
      <c r="H107" s="4">
        <f>613023/1000</f>
        <v>613.023</v>
      </c>
      <c r="I107" s="4">
        <f>3301032/1000</f>
        <v>3301.032</v>
      </c>
      <c r="J107" s="4">
        <f>1195613/1000</f>
        <v>1195.613</v>
      </c>
      <c r="K107" s="4">
        <f>SUM(C107:J107)</f>
        <v>24815.186</v>
      </c>
      <c r="L107" s="2"/>
    </row>
    <row r="108" spans="1:12" ht="12.75">
      <c r="A108" s="3" t="s">
        <v>115</v>
      </c>
      <c r="B108" s="1" t="s">
        <v>116</v>
      </c>
      <c r="C108" s="4">
        <f>3946135/1000</f>
        <v>3946.135</v>
      </c>
      <c r="D108" s="4">
        <f>5708402/1000</f>
        <v>5708.402</v>
      </c>
      <c r="E108" s="4">
        <f>8054086/1000</f>
        <v>8054.086</v>
      </c>
      <c r="F108" s="4">
        <f>834094/1000</f>
        <v>834.094</v>
      </c>
      <c r="G108" s="4">
        <f>1615502/1000</f>
        <v>1615.502</v>
      </c>
      <c r="H108" s="4">
        <f>355681/1000</f>
        <v>355.681</v>
      </c>
      <c r="I108" s="4">
        <f>1325300/1000</f>
        <v>1325.3</v>
      </c>
      <c r="J108" s="4">
        <f>1115234/1000</f>
        <v>1115.234</v>
      </c>
      <c r="K108" s="4">
        <f aca="true" t="shared" si="15" ref="K108:K126">SUM(C108:J108)</f>
        <v>22954.434</v>
      </c>
      <c r="L108" s="2"/>
    </row>
    <row r="109" spans="1:12" ht="12.75">
      <c r="A109" s="3" t="s">
        <v>117</v>
      </c>
      <c r="B109" s="1" t="s">
        <v>118</v>
      </c>
      <c r="C109" s="4">
        <f>4297270/1000</f>
        <v>4297.27</v>
      </c>
      <c r="D109" s="4">
        <f>6178364/1000</f>
        <v>6178.364</v>
      </c>
      <c r="E109" s="4">
        <f>9451787/1000</f>
        <v>9451.787</v>
      </c>
      <c r="F109" s="4">
        <f>1109639/1000</f>
        <v>1109.639</v>
      </c>
      <c r="G109" s="4">
        <f>2982327/1000</f>
        <v>2982.327</v>
      </c>
      <c r="H109" s="4">
        <f>812075/1000</f>
        <v>812.075</v>
      </c>
      <c r="I109" s="4">
        <f>3027016/1000</f>
        <v>3027.016</v>
      </c>
      <c r="J109" s="4">
        <f>1081152/1000</f>
        <v>1081.152</v>
      </c>
      <c r="K109" s="4">
        <f t="shared" si="15"/>
        <v>28939.630000000005</v>
      </c>
      <c r="L109" s="2"/>
    </row>
    <row r="110" spans="1:12" ht="12.75">
      <c r="A110" s="3" t="s">
        <v>119</v>
      </c>
      <c r="B110" s="1" t="s">
        <v>120</v>
      </c>
      <c r="C110" s="4">
        <f>7307659/1000</f>
        <v>7307.659</v>
      </c>
      <c r="D110" s="4">
        <f>8283876/1000</f>
        <v>8283.876</v>
      </c>
      <c r="E110" s="4">
        <f>13662254/1000</f>
        <v>13662.254</v>
      </c>
      <c r="F110" s="4">
        <f>10734221/1000</f>
        <v>10734.221</v>
      </c>
      <c r="G110" s="4">
        <f>2290241/1000</f>
        <v>2290.241</v>
      </c>
      <c r="H110" s="4">
        <f>264844/1000</f>
        <v>264.844</v>
      </c>
      <c r="I110" s="4">
        <f>1614106/1000</f>
        <v>1614.106</v>
      </c>
      <c r="J110" s="4">
        <f>1104991/1000</f>
        <v>1104.991</v>
      </c>
      <c r="K110" s="4">
        <f t="shared" si="15"/>
        <v>45262.192</v>
      </c>
      <c r="L110" s="2"/>
    </row>
    <row r="111" spans="1:12" ht="12.75">
      <c r="A111" s="3" t="s">
        <v>121</v>
      </c>
      <c r="B111" s="1" t="s">
        <v>122</v>
      </c>
      <c r="C111" s="4">
        <f>3753776/1000</f>
        <v>3753.776</v>
      </c>
      <c r="D111" s="4">
        <f>4393473/1000</f>
        <v>4393.473</v>
      </c>
      <c r="E111" s="4">
        <f>7306042/1000</f>
        <v>7306.042</v>
      </c>
      <c r="F111" s="4">
        <f>735139/1000</f>
        <v>735.139</v>
      </c>
      <c r="G111" s="4">
        <f>1790413/1000</f>
        <v>1790.413</v>
      </c>
      <c r="H111" s="4">
        <f>745405/1000</f>
        <v>745.405</v>
      </c>
      <c r="I111" s="4">
        <f>1058189/1000</f>
        <v>1058.189</v>
      </c>
      <c r="J111" s="4">
        <f>785289/1000</f>
        <v>785.289</v>
      </c>
      <c r="K111" s="4">
        <f t="shared" si="15"/>
        <v>20567.726</v>
      </c>
      <c r="L111" s="2"/>
    </row>
    <row r="112" spans="1:12" ht="12.75">
      <c r="A112" s="3" t="s">
        <v>123</v>
      </c>
      <c r="B112" s="1" t="s">
        <v>124</v>
      </c>
      <c r="C112" s="4">
        <f>5405335/1000</f>
        <v>5405.335</v>
      </c>
      <c r="D112" s="4">
        <f>4224677/1000</f>
        <v>4224.677</v>
      </c>
      <c r="E112" s="4">
        <f>9397971/1000</f>
        <v>9397.971</v>
      </c>
      <c r="F112" s="4">
        <f>545151/1000</f>
        <v>545.151</v>
      </c>
      <c r="G112" s="4">
        <f>26128603/1000</f>
        <v>26128.603</v>
      </c>
      <c r="H112" s="4">
        <f>212654/1000</f>
        <v>212.654</v>
      </c>
      <c r="I112" s="4">
        <f>459799/1000</f>
        <v>459.799</v>
      </c>
      <c r="J112" s="4">
        <f>778231/1000</f>
        <v>778.231</v>
      </c>
      <c r="K112" s="4">
        <f t="shared" si="15"/>
        <v>47152.421</v>
      </c>
      <c r="L112" s="2"/>
    </row>
    <row r="113" spans="1:12" ht="12.75">
      <c r="A113" s="3" t="s">
        <v>125</v>
      </c>
      <c r="B113" s="1" t="s">
        <v>126</v>
      </c>
      <c r="C113" s="4">
        <f>5095753/1000</f>
        <v>5095.753</v>
      </c>
      <c r="D113" s="4">
        <f>6394373/1000</f>
        <v>6394.373</v>
      </c>
      <c r="E113" s="4">
        <f>10012141/1000</f>
        <v>10012.141</v>
      </c>
      <c r="F113" s="4">
        <f>794754/1000</f>
        <v>794.754</v>
      </c>
      <c r="G113" s="4">
        <f>1276714/1000</f>
        <v>1276.714</v>
      </c>
      <c r="H113" s="4">
        <f>376895/1000</f>
        <v>376.895</v>
      </c>
      <c r="I113" s="4">
        <f>2398710/1000</f>
        <v>2398.71</v>
      </c>
      <c r="J113" s="4">
        <f>819082/1000</f>
        <v>819.082</v>
      </c>
      <c r="K113" s="4">
        <f t="shared" si="15"/>
        <v>27168.422</v>
      </c>
      <c r="L113" s="2"/>
    </row>
    <row r="114" spans="1:12" ht="12.75">
      <c r="A114" s="3" t="s">
        <v>127</v>
      </c>
      <c r="B114" s="1" t="s">
        <v>128</v>
      </c>
      <c r="C114" s="4">
        <f>2177178/1000</f>
        <v>2177.178</v>
      </c>
      <c r="D114" s="4">
        <f>2107946/1000</f>
        <v>2107.946</v>
      </c>
      <c r="E114" s="4">
        <f>3231214/1000</f>
        <v>3231.214</v>
      </c>
      <c r="F114" s="4">
        <f>173558/1000</f>
        <v>173.558</v>
      </c>
      <c r="G114" s="4">
        <f>627122/1000</f>
        <v>627.122</v>
      </c>
      <c r="H114" s="4">
        <f>110588/1000</f>
        <v>110.588</v>
      </c>
      <c r="I114" s="4">
        <f>577925/1000</f>
        <v>577.925</v>
      </c>
      <c r="J114" s="4">
        <f>458687/1000</f>
        <v>458.687</v>
      </c>
      <c r="K114" s="4">
        <f t="shared" si="15"/>
        <v>9464.217999999999</v>
      </c>
      <c r="L114" s="2"/>
    </row>
    <row r="115" spans="1:12" ht="12.75">
      <c r="A115" s="3" t="s">
        <v>129</v>
      </c>
      <c r="B115" s="1" t="s">
        <v>130</v>
      </c>
      <c r="C115" s="4"/>
      <c r="D115" s="4"/>
      <c r="E115" s="4"/>
      <c r="F115" s="4"/>
      <c r="G115" s="4"/>
      <c r="H115" s="4"/>
      <c r="I115" s="4"/>
      <c r="J115" s="4"/>
      <c r="K115" s="4">
        <f t="shared" si="15"/>
        <v>0</v>
      </c>
      <c r="L115" s="2"/>
    </row>
    <row r="116" spans="1:12" ht="12.75">
      <c r="A116" s="3">
        <v>108</v>
      </c>
      <c r="B116" s="1" t="s">
        <v>131</v>
      </c>
      <c r="C116" s="4">
        <f>7876254/1000</f>
        <v>7876.254</v>
      </c>
      <c r="D116" s="4">
        <f>10550125/1000</f>
        <v>10550.125</v>
      </c>
      <c r="E116" s="4">
        <f>21007092/1000</f>
        <v>21007.092</v>
      </c>
      <c r="F116" s="4">
        <f>1474917/1000</f>
        <v>1474.917</v>
      </c>
      <c r="G116" s="4">
        <f>3758126/1000</f>
        <v>3758.126</v>
      </c>
      <c r="H116" s="4">
        <f>442496/1000</f>
        <v>442.496</v>
      </c>
      <c r="I116" s="4">
        <f>4213635/1000</f>
        <v>4213.635</v>
      </c>
      <c r="J116" s="4">
        <f>1170707/1000</f>
        <v>1170.707</v>
      </c>
      <c r="K116" s="4">
        <f t="shared" si="15"/>
        <v>50493.35200000001</v>
      </c>
      <c r="L116" s="2"/>
    </row>
    <row r="117" spans="1:12" ht="12.75">
      <c r="A117" s="3">
        <v>110</v>
      </c>
      <c r="B117" s="1" t="s">
        <v>132</v>
      </c>
      <c r="C117" s="4">
        <f>26385978/1000</f>
        <v>26385.978</v>
      </c>
      <c r="D117" s="4">
        <f>45258600/1000</f>
        <v>45258.6</v>
      </c>
      <c r="E117" s="4">
        <f>61106877/1000</f>
        <v>61106.877</v>
      </c>
      <c r="F117" s="4">
        <f>19645001/1000</f>
        <v>19645.001</v>
      </c>
      <c r="G117" s="4">
        <f>21224612/1000</f>
        <v>21224.612</v>
      </c>
      <c r="H117" s="4">
        <f>16506321/1000</f>
        <v>16506.321</v>
      </c>
      <c r="I117" s="4">
        <f>34210372/1000</f>
        <v>34210.372</v>
      </c>
      <c r="J117" s="4">
        <f>4656557/1000</f>
        <v>4656.557</v>
      </c>
      <c r="K117" s="4">
        <f t="shared" si="15"/>
        <v>228994.31799999997</v>
      </c>
      <c r="L117" s="2"/>
    </row>
    <row r="118" spans="1:12" ht="12.75">
      <c r="A118" s="3">
        <v>127</v>
      </c>
      <c r="B118" s="1" t="s">
        <v>133</v>
      </c>
      <c r="C118" s="4">
        <f>3583869/1000</f>
        <v>3583.869</v>
      </c>
      <c r="D118" s="4">
        <f>4145686/1000</f>
        <v>4145.686</v>
      </c>
      <c r="E118" s="4">
        <f>8368018/1000</f>
        <v>8368.018</v>
      </c>
      <c r="F118" s="4">
        <f>589312/1000</f>
        <v>589.312</v>
      </c>
      <c r="G118" s="4">
        <f>1481996/1000</f>
        <v>1481.996</v>
      </c>
      <c r="H118" s="4">
        <f>385673/1000</f>
        <v>385.673</v>
      </c>
      <c r="I118" s="4">
        <f>2253670/1000</f>
        <v>2253.67</v>
      </c>
      <c r="J118" s="4">
        <f>483718/1000</f>
        <v>483.718</v>
      </c>
      <c r="K118" s="4">
        <f t="shared" si="15"/>
        <v>21291.942000000003</v>
      </c>
      <c r="L118" s="2"/>
    </row>
    <row r="119" spans="1:12" ht="12.75">
      <c r="A119" s="3">
        <v>157</v>
      </c>
      <c r="B119" s="1" t="s">
        <v>134</v>
      </c>
      <c r="C119" s="4">
        <f>10972980/1000</f>
        <v>10972.98</v>
      </c>
      <c r="D119" s="4">
        <f>11212295/1000</f>
        <v>11212.295</v>
      </c>
      <c r="E119" s="4">
        <f>(17575352-205444)/1000</f>
        <v>17369.908</v>
      </c>
      <c r="F119" s="4">
        <f>10131846/1000</f>
        <v>10131.846</v>
      </c>
      <c r="G119" s="4">
        <f>7038326/1000</f>
        <v>7038.326</v>
      </c>
      <c r="H119" s="4">
        <f>5988063/1000</f>
        <v>5988.063</v>
      </c>
      <c r="I119" s="4">
        <f>2573669/1000</f>
        <v>2573.669</v>
      </c>
      <c r="J119" s="4">
        <f>1352899/1000</f>
        <v>1352.899</v>
      </c>
      <c r="K119" s="4">
        <f t="shared" si="15"/>
        <v>66639.986</v>
      </c>
      <c r="L119" s="2"/>
    </row>
    <row r="120" spans="1:12" ht="12.75">
      <c r="A120" s="3">
        <v>159</v>
      </c>
      <c r="B120" s="1" t="s">
        <v>135</v>
      </c>
      <c r="C120" s="4">
        <f>21100184/1000</f>
        <v>21100.184</v>
      </c>
      <c r="D120" s="4">
        <f>25747362/1000</f>
        <v>25747.362</v>
      </c>
      <c r="E120" s="4">
        <f>49376043/1000</f>
        <v>49376.043</v>
      </c>
      <c r="F120" s="4">
        <f>16472224/1000</f>
        <v>16472.224</v>
      </c>
      <c r="G120" s="4">
        <f>10313013/1000</f>
        <v>10313.013</v>
      </c>
      <c r="H120" s="4">
        <f>10721834/1000</f>
        <v>10721.834</v>
      </c>
      <c r="I120" s="4">
        <f>13200545/1000</f>
        <v>13200.545</v>
      </c>
      <c r="J120" s="4">
        <f>3074473/1000</f>
        <v>3074.473</v>
      </c>
      <c r="K120" s="4">
        <f t="shared" si="15"/>
        <v>150005.678</v>
      </c>
      <c r="L120" s="2"/>
    </row>
    <row r="121" spans="1:12" ht="12.75">
      <c r="A121" s="3">
        <v>249</v>
      </c>
      <c r="B121" s="1" t="s">
        <v>136</v>
      </c>
      <c r="C121" s="4">
        <f>3064008/1000</f>
        <v>3064.008</v>
      </c>
      <c r="D121" s="4">
        <f>3693113/1000</f>
        <v>3693.113</v>
      </c>
      <c r="E121" s="4">
        <f>6665771/1000</f>
        <v>6665.771</v>
      </c>
      <c r="F121" s="4">
        <f>514478/1000</f>
        <v>514.478</v>
      </c>
      <c r="G121" s="4">
        <f>1490126/1000</f>
        <v>1490.126</v>
      </c>
      <c r="H121" s="4">
        <f>194741/1000</f>
        <v>194.741</v>
      </c>
      <c r="I121" s="4">
        <f>1970324/1000</f>
        <v>1970.324</v>
      </c>
      <c r="J121" s="4">
        <f>676495/1000</f>
        <v>676.495</v>
      </c>
      <c r="K121" s="4">
        <f t="shared" si="15"/>
        <v>18269.055999999997</v>
      </c>
      <c r="L121" s="2"/>
    </row>
    <row r="122" spans="1:12" ht="12.75">
      <c r="A122" s="3">
        <v>250</v>
      </c>
      <c r="B122" s="1" t="s">
        <v>137</v>
      </c>
      <c r="C122" s="4">
        <f>45782763/1000</f>
        <v>45782.763</v>
      </c>
      <c r="D122" s="4">
        <f>84539043/1000</f>
        <v>84539.043</v>
      </c>
      <c r="E122" s="4">
        <f>121706327/1000</f>
        <v>121706.327</v>
      </c>
      <c r="F122" s="4">
        <f>41136272/1000</f>
        <v>41136.272</v>
      </c>
      <c r="G122" s="4">
        <f>29540785/1000</f>
        <v>29540.785</v>
      </c>
      <c r="H122" s="4">
        <f>27999711/1000</f>
        <v>27999.711</v>
      </c>
      <c r="I122" s="4">
        <f>42126605/1000</f>
        <v>42126.605</v>
      </c>
      <c r="J122" s="4">
        <f>8197329/1000</f>
        <v>8197.329</v>
      </c>
      <c r="K122" s="4">
        <f t="shared" si="15"/>
        <v>401028.835</v>
      </c>
      <c r="L122" s="2"/>
    </row>
    <row r="123" spans="1:12" ht="12.75">
      <c r="A123" s="3">
        <v>252</v>
      </c>
      <c r="B123" s="1" t="s">
        <v>138</v>
      </c>
      <c r="C123" s="4">
        <f>18633331/1000</f>
        <v>18633.331</v>
      </c>
      <c r="D123" s="4">
        <f>21658404/1000</f>
        <v>21658.404</v>
      </c>
      <c r="E123" s="4">
        <f>36017114/1000</f>
        <v>36017.114</v>
      </c>
      <c r="F123" s="4">
        <f>10239528/1000</f>
        <v>10239.528</v>
      </c>
      <c r="G123" s="4">
        <f>13454129/1000</f>
        <v>13454.129</v>
      </c>
      <c r="H123" s="4">
        <f>10447430/1000</f>
        <v>10447.43</v>
      </c>
      <c r="I123" s="4">
        <f>11835677/1000</f>
        <v>11835.677</v>
      </c>
      <c r="J123" s="4">
        <f>3078050/1000</f>
        <v>3078.05</v>
      </c>
      <c r="K123" s="4">
        <f t="shared" si="15"/>
        <v>125363.66300000002</v>
      </c>
      <c r="L123" s="2"/>
    </row>
    <row r="124" spans="1:12" ht="12.75">
      <c r="A124" s="3">
        <v>261</v>
      </c>
      <c r="B124" s="1" t="s">
        <v>139</v>
      </c>
      <c r="C124" s="4">
        <f>22250979/1000</f>
        <v>22250.979</v>
      </c>
      <c r="D124" s="4">
        <f>26246964/1000</f>
        <v>26246.964</v>
      </c>
      <c r="E124" s="4">
        <f>43483874/1000</f>
        <v>43483.874</v>
      </c>
      <c r="F124" s="4">
        <f>10223213/1000</f>
        <v>10223.213</v>
      </c>
      <c r="G124" s="4">
        <f>12775044/1000</f>
        <v>12775.044</v>
      </c>
      <c r="H124" s="4">
        <f>8290430/1000</f>
        <v>8290.43</v>
      </c>
      <c r="I124" s="4">
        <f>6841056/1000</f>
        <v>6841.056</v>
      </c>
      <c r="J124" s="4">
        <f>3316120/1000</f>
        <v>3316.12</v>
      </c>
      <c r="K124" s="4">
        <f t="shared" si="15"/>
        <v>133427.68000000002</v>
      </c>
      <c r="L124" s="2"/>
    </row>
    <row r="125" spans="1:12" ht="12.75">
      <c r="A125" s="3">
        <v>265</v>
      </c>
      <c r="B125" s="1" t="s">
        <v>140</v>
      </c>
      <c r="C125" s="4">
        <f>12918150/1000</f>
        <v>12918.15</v>
      </c>
      <c r="D125" s="4">
        <f>19509657/1000</f>
        <v>19509.657</v>
      </c>
      <c r="E125" s="4">
        <f>34598126/1000</f>
        <v>34598.126</v>
      </c>
      <c r="F125" s="4">
        <f>8973322/1000</f>
        <v>8973.322</v>
      </c>
      <c r="G125" s="4">
        <f>9781701/1000</f>
        <v>9781.701</v>
      </c>
      <c r="H125" s="4">
        <f>8221523/1000</f>
        <v>8221.523</v>
      </c>
      <c r="I125" s="4">
        <f>22846852/1000</f>
        <v>22846.852</v>
      </c>
      <c r="J125" s="4">
        <f>2663620/1000</f>
        <v>2663.62</v>
      </c>
      <c r="K125" s="4">
        <f t="shared" si="15"/>
        <v>119512.95099999999</v>
      </c>
      <c r="L125" s="2"/>
    </row>
    <row r="126" spans="1:12" ht="12.75">
      <c r="A126" s="3">
        <v>287</v>
      </c>
      <c r="B126" s="1" t="s">
        <v>141</v>
      </c>
      <c r="C126" s="4">
        <f>37400392/1000</f>
        <v>37400.392</v>
      </c>
      <c r="D126" s="4">
        <f>70431515/1000</f>
        <v>70431.515</v>
      </c>
      <c r="E126" s="4">
        <f>95237763/1000</f>
        <v>95237.763</v>
      </c>
      <c r="F126" s="4">
        <f>21573534/1000</f>
        <v>21573.534</v>
      </c>
      <c r="G126" s="4">
        <f>27792082/1000</f>
        <v>27792.082</v>
      </c>
      <c r="H126" s="4">
        <f>13653252/1000</f>
        <v>13653.252</v>
      </c>
      <c r="I126" s="4">
        <f>38237073/1000</f>
        <v>38237.073</v>
      </c>
      <c r="J126" s="4">
        <f>5027001/1000</f>
        <v>5027.001</v>
      </c>
      <c r="K126" s="4">
        <f t="shared" si="15"/>
        <v>309352.61199999996</v>
      </c>
      <c r="L126" s="2"/>
    </row>
    <row r="127" spans="1:12" ht="12.75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6"/>
      <c r="B128" s="3" t="s">
        <v>142</v>
      </c>
      <c r="C128" s="4">
        <f>SUM(C130:C136)</f>
        <v>33104.403</v>
      </c>
      <c r="D128" s="4">
        <f>SUM(D130:D136)</f>
        <v>46026.035</v>
      </c>
      <c r="E128" s="4">
        <f>SUM(E130:E136)</f>
        <v>85411.60000000002</v>
      </c>
      <c r="F128" s="4">
        <f aca="true" t="shared" si="16" ref="F128:K128">SUM(F130:F136)</f>
        <v>11179.042</v>
      </c>
      <c r="G128" s="4">
        <f t="shared" si="16"/>
        <v>22426.660999999996</v>
      </c>
      <c r="H128" s="4">
        <f t="shared" si="16"/>
        <v>2388.565</v>
      </c>
      <c r="I128" s="4">
        <f t="shared" si="16"/>
        <v>13719.572999999999</v>
      </c>
      <c r="J128" s="4">
        <f t="shared" si="16"/>
        <v>2067.4629999999997</v>
      </c>
      <c r="K128" s="4">
        <f t="shared" si="16"/>
        <v>216323.342</v>
      </c>
      <c r="L128" s="2"/>
    </row>
    <row r="129" spans="1:12" ht="12.75">
      <c r="A129" s="6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2"/>
    </row>
    <row r="130" spans="1:12" ht="12.75">
      <c r="A130" s="3" t="s">
        <v>143</v>
      </c>
      <c r="B130" s="1" t="s">
        <v>144</v>
      </c>
      <c r="C130" s="4">
        <f>5897218/1000</f>
        <v>5897.218</v>
      </c>
      <c r="D130" s="4">
        <f>7327420/1000</f>
        <v>7327.42</v>
      </c>
      <c r="E130" s="4">
        <f>13651007/1000</f>
        <v>13651.007</v>
      </c>
      <c r="F130" s="4">
        <f>1184029/1000</f>
        <v>1184.029</v>
      </c>
      <c r="G130" s="4">
        <f>3252089/1000</f>
        <v>3252.089</v>
      </c>
      <c r="H130" s="4">
        <f>261821/1000</f>
        <v>261.821</v>
      </c>
      <c r="I130" s="4">
        <f>194164/1000</f>
        <v>194.164</v>
      </c>
      <c r="J130" s="4">
        <v>1.352</v>
      </c>
      <c r="K130" s="4">
        <f aca="true" t="shared" si="17" ref="K130:K136">SUM(C130:J130)</f>
        <v>31769.099999999995</v>
      </c>
      <c r="L130" s="2"/>
    </row>
    <row r="131" spans="1:12" ht="12.75">
      <c r="A131" s="3" t="s">
        <v>145</v>
      </c>
      <c r="B131" s="1" t="s">
        <v>146</v>
      </c>
      <c r="C131" s="4">
        <f>5933206/1000</f>
        <v>5933.206</v>
      </c>
      <c r="D131" s="4">
        <f>7951419/1000</f>
        <v>7951.419</v>
      </c>
      <c r="E131" s="4">
        <f>16427181/1000</f>
        <v>16427.181</v>
      </c>
      <c r="F131" s="4">
        <f>1451690/1000</f>
        <v>1451.69</v>
      </c>
      <c r="G131" s="4">
        <f>2805433/1000</f>
        <v>2805.433</v>
      </c>
      <c r="H131" s="4">
        <f>405627/1000</f>
        <v>405.627</v>
      </c>
      <c r="I131" s="4">
        <f>3628371/1000</f>
        <v>3628.371</v>
      </c>
      <c r="J131" s="4">
        <v>11.273</v>
      </c>
      <c r="K131" s="4">
        <f t="shared" si="17"/>
        <v>38614.2</v>
      </c>
      <c r="L131" s="2"/>
    </row>
    <row r="132" spans="1:12" ht="12.75">
      <c r="A132" s="3">
        <v>134</v>
      </c>
      <c r="B132" s="1" t="s">
        <v>147</v>
      </c>
      <c r="C132" s="4">
        <f>4730800/1000</f>
        <v>4730.8</v>
      </c>
      <c r="D132" s="4">
        <f>6717648/1000</f>
        <v>6717.648</v>
      </c>
      <c r="E132" s="4">
        <f>12232499/1000</f>
        <v>12232.499</v>
      </c>
      <c r="F132" s="4">
        <f>1183688/1000</f>
        <v>1183.688</v>
      </c>
      <c r="G132" s="4">
        <f>3543063/1000</f>
        <v>3543.063</v>
      </c>
      <c r="H132" s="4">
        <f>375338/1000</f>
        <v>375.338</v>
      </c>
      <c r="I132" s="4">
        <f>3282247/1000</f>
        <v>3282.247</v>
      </c>
      <c r="J132" s="4">
        <v>1.345</v>
      </c>
      <c r="K132" s="4">
        <f t="shared" si="17"/>
        <v>32066.628000000004</v>
      </c>
      <c r="L132" s="2"/>
    </row>
    <row r="133" spans="1:12" ht="12.75">
      <c r="A133" s="3">
        <v>226</v>
      </c>
      <c r="B133" s="1" t="s">
        <v>144</v>
      </c>
      <c r="C133" s="4">
        <f>5733154/1000</f>
        <v>5733.154</v>
      </c>
      <c r="D133" s="4">
        <f>9169623/1000</f>
        <v>9169.623</v>
      </c>
      <c r="E133" s="4">
        <f>15862292/1000</f>
        <v>15862.292</v>
      </c>
      <c r="F133" s="4">
        <f>3600501/1000</f>
        <v>3600.501</v>
      </c>
      <c r="G133" s="4">
        <f>5223079/1000</f>
        <v>5223.079</v>
      </c>
      <c r="H133" s="4">
        <f>509851/1000</f>
        <v>509.851</v>
      </c>
      <c r="I133" s="4">
        <f>515970/1000</f>
        <v>515.97</v>
      </c>
      <c r="J133" s="4">
        <f>426335/1000</f>
        <v>426.335</v>
      </c>
      <c r="K133" s="4">
        <f t="shared" si="17"/>
        <v>41040.805</v>
      </c>
      <c r="L133" s="2"/>
    </row>
    <row r="134" spans="1:12" ht="12.75">
      <c r="A134" s="3">
        <v>264</v>
      </c>
      <c r="B134" s="1" t="s">
        <v>148</v>
      </c>
      <c r="C134" s="4">
        <f>2986317/1000</f>
        <v>2986.317</v>
      </c>
      <c r="D134" s="4">
        <f>3750035/1000</f>
        <v>3750.035</v>
      </c>
      <c r="E134" s="4">
        <f>8205243/1000</f>
        <v>8205.243</v>
      </c>
      <c r="F134" s="4">
        <f>474447/1000</f>
        <v>474.447</v>
      </c>
      <c r="G134" s="4">
        <f>1757646/1000</f>
        <v>1757.646</v>
      </c>
      <c r="H134" s="4">
        <f>195736/1000</f>
        <v>195.736</v>
      </c>
      <c r="I134" s="4">
        <f>2786038/1000</f>
        <v>2786.038</v>
      </c>
      <c r="J134" s="4">
        <f>345309/1000</f>
        <v>345.309</v>
      </c>
      <c r="K134" s="4">
        <f t="shared" si="17"/>
        <v>20500.771000000004</v>
      </c>
      <c r="L134" s="2"/>
    </row>
    <row r="135" spans="1:12" ht="12.75">
      <c r="A135" s="3">
        <v>279</v>
      </c>
      <c r="B135" s="1" t="s">
        <v>144</v>
      </c>
      <c r="C135" s="4">
        <f>6130165/1000</f>
        <v>6130.165</v>
      </c>
      <c r="D135" s="4">
        <f>8380700/1000</f>
        <v>8380.7</v>
      </c>
      <c r="E135" s="4">
        <f>15394721/1000</f>
        <v>15394.721</v>
      </c>
      <c r="F135" s="4">
        <f>2162858/1000</f>
        <v>2162.858</v>
      </c>
      <c r="G135" s="4">
        <f>4980187/1000</f>
        <v>4980.187</v>
      </c>
      <c r="H135" s="4">
        <f>498483/1000</f>
        <v>498.483</v>
      </c>
      <c r="I135" s="4">
        <f>745086/1000</f>
        <v>745.086</v>
      </c>
      <c r="J135" s="4">
        <f>353636/1000</f>
        <v>353.636</v>
      </c>
      <c r="K135" s="4">
        <f t="shared" si="17"/>
        <v>38645.836</v>
      </c>
      <c r="L135" s="2"/>
    </row>
    <row r="136" spans="1:12" ht="12.75">
      <c r="A136" s="3">
        <v>289</v>
      </c>
      <c r="B136" s="1" t="s">
        <v>149</v>
      </c>
      <c r="C136" s="4">
        <f>1693543/1000</f>
        <v>1693.543</v>
      </c>
      <c r="D136" s="4">
        <f>2729190/1000</f>
        <v>2729.19</v>
      </c>
      <c r="E136" s="4">
        <f>3638657/1000</f>
        <v>3638.657</v>
      </c>
      <c r="F136" s="4">
        <f>1121829/1000</f>
        <v>1121.829</v>
      </c>
      <c r="G136" s="4">
        <f>865164/1000</f>
        <v>865.164</v>
      </c>
      <c r="H136" s="4">
        <f>141709/1000</f>
        <v>141.709</v>
      </c>
      <c r="I136" s="4">
        <f>2567697/1000</f>
        <v>2567.697</v>
      </c>
      <c r="J136" s="4">
        <f>928213/1000</f>
        <v>928.213</v>
      </c>
      <c r="K136" s="4">
        <f t="shared" si="17"/>
        <v>13686.002000000002</v>
      </c>
      <c r="L136" s="2"/>
    </row>
    <row r="137" spans="1:12" ht="12.75">
      <c r="A137" s="6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2"/>
    </row>
    <row r="138" spans="1:12" ht="12.75">
      <c r="A138" s="6"/>
      <c r="B138" s="3" t="s">
        <v>150</v>
      </c>
      <c r="C138" s="4">
        <f>SUM(C140:C150)</f>
        <v>62630.042</v>
      </c>
      <c r="D138" s="4">
        <f>SUM(D140:D150)</f>
        <v>66564.776</v>
      </c>
      <c r="E138" s="4">
        <f>SUM(E140:E150)</f>
        <v>114880.813</v>
      </c>
      <c r="F138" s="4">
        <f aca="true" t="shared" si="18" ref="F138:K138">SUM(F140:F150)</f>
        <v>10947.331000000002</v>
      </c>
      <c r="G138" s="4">
        <f t="shared" si="18"/>
        <v>33111.519</v>
      </c>
      <c r="H138" s="4">
        <f t="shared" si="18"/>
        <v>2533.8199999999997</v>
      </c>
      <c r="I138" s="4">
        <f t="shared" si="18"/>
        <v>1327.773</v>
      </c>
      <c r="J138" s="4">
        <f t="shared" si="18"/>
        <v>9140.979</v>
      </c>
      <c r="K138" s="4">
        <f t="shared" si="18"/>
        <v>301137.053</v>
      </c>
      <c r="L138" s="2"/>
    </row>
    <row r="139" spans="1:12" ht="12.75">
      <c r="A139" s="6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2"/>
    </row>
    <row r="140" spans="1:12" ht="12.75">
      <c r="A140" s="3" t="s">
        <v>151</v>
      </c>
      <c r="B140" s="1" t="s">
        <v>152</v>
      </c>
      <c r="C140" s="4">
        <f>7925006/1000</f>
        <v>7925.006</v>
      </c>
      <c r="D140" s="4">
        <f>9244070/1000</f>
        <v>9244.07</v>
      </c>
      <c r="E140" s="4">
        <f>13494553/1000</f>
        <v>13494.553</v>
      </c>
      <c r="F140" s="4">
        <f>877100/1000</f>
        <v>877.1</v>
      </c>
      <c r="G140" s="4">
        <f>4111108/1000</f>
        <v>4111.108</v>
      </c>
      <c r="H140" s="4">
        <f>176028/1000</f>
        <v>176.028</v>
      </c>
      <c r="I140" s="4">
        <v>32.288</v>
      </c>
      <c r="J140" s="4">
        <f>1023345/1000</f>
        <v>1023.345</v>
      </c>
      <c r="K140" s="4">
        <f aca="true" t="shared" si="19" ref="K140:K150">SUM(C140:J140)</f>
        <v>36883.498</v>
      </c>
      <c r="L140" s="2"/>
    </row>
    <row r="141" spans="1:12" ht="12.75">
      <c r="A141" s="3" t="s">
        <v>153</v>
      </c>
      <c r="B141" s="1" t="s">
        <v>154</v>
      </c>
      <c r="C141" s="4">
        <f>8401880/1000</f>
        <v>8401.88</v>
      </c>
      <c r="D141" s="4">
        <f>6987649/1000</f>
        <v>6987.649</v>
      </c>
      <c r="E141" s="4">
        <f>13360348/1000</f>
        <v>13360.348</v>
      </c>
      <c r="F141" s="4">
        <f>1024690/1000</f>
        <v>1024.69</v>
      </c>
      <c r="G141" s="4">
        <f>3939685/1000</f>
        <v>3939.685</v>
      </c>
      <c r="H141" s="4">
        <f>191638/1000</f>
        <v>191.638</v>
      </c>
      <c r="I141" s="4">
        <f>143207/1000</f>
        <v>143.207</v>
      </c>
      <c r="J141" s="4">
        <f>730928/1000</f>
        <v>730.928</v>
      </c>
      <c r="K141" s="4">
        <f t="shared" si="19"/>
        <v>34780.025</v>
      </c>
      <c r="L141" s="2"/>
    </row>
    <row r="142" spans="1:12" ht="12.75">
      <c r="A142" s="3" t="s">
        <v>155</v>
      </c>
      <c r="B142" s="1" t="s">
        <v>156</v>
      </c>
      <c r="C142" s="4">
        <f>13200365/1000</f>
        <v>13200.365</v>
      </c>
      <c r="D142" s="4">
        <f>10848349/1000</f>
        <v>10848.349</v>
      </c>
      <c r="E142" s="4">
        <f>24078816/1000</f>
        <v>24078.816</v>
      </c>
      <c r="F142" s="4">
        <f>2024063/1000</f>
        <v>2024.063</v>
      </c>
      <c r="G142" s="4">
        <f>7303779/1000</f>
        <v>7303.779</v>
      </c>
      <c r="H142" s="4">
        <f>446209/1000</f>
        <v>446.209</v>
      </c>
      <c r="I142" s="4">
        <f>107328/1000</f>
        <v>107.328</v>
      </c>
      <c r="J142" s="4">
        <f>995934/1000</f>
        <v>995.934</v>
      </c>
      <c r="K142" s="4">
        <f t="shared" si="19"/>
        <v>59004.84300000001</v>
      </c>
      <c r="L142" s="2"/>
    </row>
    <row r="143" spans="1:12" ht="12.75">
      <c r="A143" s="3" t="s">
        <v>157</v>
      </c>
      <c r="B143" s="1" t="s">
        <v>158</v>
      </c>
      <c r="C143" s="4">
        <f>7065873/1000</f>
        <v>7065.873</v>
      </c>
      <c r="D143" s="4">
        <f>8190764/1000</f>
        <v>8190.764</v>
      </c>
      <c r="E143" s="4">
        <f>13464018/1000</f>
        <v>13464.018</v>
      </c>
      <c r="F143" s="4">
        <f>1677584/1000</f>
        <v>1677.584</v>
      </c>
      <c r="G143" s="4">
        <f>4217291/1000</f>
        <v>4217.291</v>
      </c>
      <c r="H143" s="4">
        <f>357983/1000</f>
        <v>357.983</v>
      </c>
      <c r="I143" s="4">
        <f>182285/1000</f>
        <v>182.285</v>
      </c>
      <c r="J143" s="4">
        <f>770804/1000</f>
        <v>770.804</v>
      </c>
      <c r="K143" s="4">
        <f t="shared" si="19"/>
        <v>35926.602</v>
      </c>
      <c r="L143" s="2"/>
    </row>
    <row r="144" spans="1:12" ht="12.75">
      <c r="A144" s="3">
        <v>124</v>
      </c>
      <c r="B144" s="1" t="s">
        <v>159</v>
      </c>
      <c r="C144" s="4">
        <f>4824512/1000</f>
        <v>4824.512</v>
      </c>
      <c r="D144" s="4">
        <f>5720772/1000</f>
        <v>5720.772</v>
      </c>
      <c r="E144" s="4">
        <f>8900668/1000</f>
        <v>8900.668</v>
      </c>
      <c r="F144" s="4">
        <f>555770/1000</f>
        <v>555.77</v>
      </c>
      <c r="G144" s="4">
        <f>2132780/1000</f>
        <v>2132.78</v>
      </c>
      <c r="H144" s="4">
        <f>147301/1000</f>
        <v>147.301</v>
      </c>
      <c r="I144" s="4">
        <v>30.021</v>
      </c>
      <c r="J144" s="4">
        <f>1009696/1000</f>
        <v>1009.696</v>
      </c>
      <c r="K144" s="4">
        <f t="shared" si="19"/>
        <v>23321.519999999997</v>
      </c>
      <c r="L144" s="2"/>
    </row>
    <row r="145" spans="1:12" ht="12.75">
      <c r="A145" s="3">
        <v>135</v>
      </c>
      <c r="B145" s="1" t="s">
        <v>160</v>
      </c>
      <c r="C145" s="4">
        <f>3033139/1000</f>
        <v>3033.139</v>
      </c>
      <c r="D145" s="4">
        <f>3378532/1000</f>
        <v>3378.532</v>
      </c>
      <c r="E145" s="4">
        <f>6162093/1000</f>
        <v>6162.093</v>
      </c>
      <c r="F145" s="4">
        <f>963111/1000</f>
        <v>963.111</v>
      </c>
      <c r="G145" s="4">
        <f>1688096/1000</f>
        <v>1688.096</v>
      </c>
      <c r="H145" s="4">
        <f>161110/1000</f>
        <v>161.11</v>
      </c>
      <c r="I145" s="4">
        <f>65305/1000</f>
        <v>65.305</v>
      </c>
      <c r="J145" s="4">
        <f>1274434/1000</f>
        <v>1274.434</v>
      </c>
      <c r="K145" s="4">
        <f t="shared" si="19"/>
        <v>16725.82</v>
      </c>
      <c r="L145" s="2"/>
    </row>
    <row r="146" spans="1:12" ht="12.75">
      <c r="A146" s="3">
        <v>166</v>
      </c>
      <c r="B146" s="1" t="s">
        <v>161</v>
      </c>
      <c r="C146" s="4">
        <f>5994850/1000</f>
        <v>5994.85</v>
      </c>
      <c r="D146" s="4">
        <f>7535318/1000</f>
        <v>7535.318</v>
      </c>
      <c r="E146" s="4">
        <f>10518588/1000</f>
        <v>10518.588</v>
      </c>
      <c r="F146" s="4">
        <f>1447990/1000</f>
        <v>1447.99</v>
      </c>
      <c r="G146" s="4">
        <f>3452462/1000</f>
        <v>3452.462</v>
      </c>
      <c r="H146" s="4">
        <f>402098/1000</f>
        <v>402.098</v>
      </c>
      <c r="I146" s="4">
        <f>238148/1000</f>
        <v>238.148</v>
      </c>
      <c r="J146" s="4">
        <f>515190/1000</f>
        <v>515.19</v>
      </c>
      <c r="K146" s="4">
        <f t="shared" si="19"/>
        <v>30104.644000000004</v>
      </c>
      <c r="L146" s="2"/>
    </row>
    <row r="147" spans="1:12" ht="12.75">
      <c r="A147" s="3">
        <v>207</v>
      </c>
      <c r="B147" s="1" t="s">
        <v>162</v>
      </c>
      <c r="C147" s="4">
        <f>3592007/1000</f>
        <v>3592.007</v>
      </c>
      <c r="D147" s="4">
        <f>3886967/1000</f>
        <v>3886.967</v>
      </c>
      <c r="E147" s="4">
        <f>7368639/1000</f>
        <v>7368.639</v>
      </c>
      <c r="F147" s="4">
        <f>537324/1000</f>
        <v>537.324</v>
      </c>
      <c r="G147" s="4">
        <f>1681124/1000</f>
        <v>1681.124</v>
      </c>
      <c r="H147" s="4">
        <f>131764/1000</f>
        <v>131.764</v>
      </c>
      <c r="I147" s="4">
        <v>32.746</v>
      </c>
      <c r="J147" s="4">
        <f>305263/1000</f>
        <v>305.263</v>
      </c>
      <c r="K147" s="4">
        <f t="shared" si="19"/>
        <v>17535.834</v>
      </c>
      <c r="L147" s="2"/>
    </row>
    <row r="148" spans="1:12" ht="12.75">
      <c r="A148" s="3">
        <v>227</v>
      </c>
      <c r="B148" s="1" t="s">
        <v>152</v>
      </c>
      <c r="C148" s="4">
        <f>2769016/1000</f>
        <v>2769.016</v>
      </c>
      <c r="D148" s="4">
        <f>3710078/1000</f>
        <v>3710.078</v>
      </c>
      <c r="E148" s="4">
        <f>5000865/1000</f>
        <v>5000.865</v>
      </c>
      <c r="F148" s="4">
        <f>447038/1000</f>
        <v>447.038</v>
      </c>
      <c r="G148" s="4">
        <f>1066316/1000</f>
        <v>1066.316</v>
      </c>
      <c r="H148" s="4">
        <f>109483/1000</f>
        <v>109.483</v>
      </c>
      <c r="I148" s="4">
        <f>119870/1000</f>
        <v>119.87</v>
      </c>
      <c r="J148" s="4">
        <f>930405/1000</f>
        <v>930.405</v>
      </c>
      <c r="K148" s="4">
        <f t="shared" si="19"/>
        <v>14153.071000000002</v>
      </c>
      <c r="L148" s="2"/>
    </row>
    <row r="149" spans="1:12" ht="12.75">
      <c r="A149" s="3">
        <v>268</v>
      </c>
      <c r="B149" s="1" t="s">
        <v>163</v>
      </c>
      <c r="C149" s="4">
        <f>3487495/1000</f>
        <v>3487.495</v>
      </c>
      <c r="D149" s="4">
        <f>3981968/1000</f>
        <v>3981.968</v>
      </c>
      <c r="E149" s="4">
        <f>7220325/1000</f>
        <v>7220.325</v>
      </c>
      <c r="F149" s="4">
        <f>914374/1000</f>
        <v>914.374</v>
      </c>
      <c r="G149" s="4">
        <f>2324683/1000</f>
        <v>2324.683</v>
      </c>
      <c r="H149" s="4">
        <f>317392/1000</f>
        <v>317.392</v>
      </c>
      <c r="I149" s="4">
        <f>245682/1000</f>
        <v>245.682</v>
      </c>
      <c r="J149" s="4">
        <f>597433/1000</f>
        <v>597.433</v>
      </c>
      <c r="K149" s="4">
        <f t="shared" si="19"/>
        <v>19089.352000000003</v>
      </c>
      <c r="L149" s="2"/>
    </row>
    <row r="150" spans="1:12" ht="12.75">
      <c r="A150" s="3">
        <v>282</v>
      </c>
      <c r="B150" s="1" t="s">
        <v>164</v>
      </c>
      <c r="C150" s="4">
        <f>2335899/1000</f>
        <v>2335.899</v>
      </c>
      <c r="D150" s="4">
        <f>3080309/1000</f>
        <v>3080.309</v>
      </c>
      <c r="E150" s="4">
        <f>5311900/1000</f>
        <v>5311.9</v>
      </c>
      <c r="F150" s="4">
        <f>478287/1000</f>
        <v>478.287</v>
      </c>
      <c r="G150" s="4">
        <f>1194195/1000</f>
        <v>1194.195</v>
      </c>
      <c r="H150" s="4">
        <f>92814/1000</f>
        <v>92.814</v>
      </c>
      <c r="I150" s="4">
        <f>130893/1000</f>
        <v>130.893</v>
      </c>
      <c r="J150" s="4">
        <f>987547/1000</f>
        <v>987.547</v>
      </c>
      <c r="K150" s="4">
        <f t="shared" si="19"/>
        <v>13611.844000000001</v>
      </c>
      <c r="L150" s="2"/>
    </row>
    <row r="151" spans="1:12" ht="12.75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6"/>
      <c r="B152" s="3" t="s">
        <v>165</v>
      </c>
      <c r="C152" s="4">
        <f>SUM(C154:C166)</f>
        <v>60791.153999999995</v>
      </c>
      <c r="D152" s="4">
        <f>SUM(D154:D166)</f>
        <v>58542.435</v>
      </c>
      <c r="E152" s="4">
        <f>SUM(E154:E166)</f>
        <v>118488.595</v>
      </c>
      <c r="F152" s="4">
        <f aca="true" t="shared" si="20" ref="F152:K152">SUM(F154:F166)</f>
        <v>18362.226000000002</v>
      </c>
      <c r="G152" s="4">
        <f t="shared" si="20"/>
        <v>41470.79000000001</v>
      </c>
      <c r="H152" s="4">
        <f t="shared" si="20"/>
        <v>5982.272000000001</v>
      </c>
      <c r="I152" s="4">
        <f t="shared" si="20"/>
        <v>3369.115</v>
      </c>
      <c r="J152" s="4">
        <f t="shared" si="20"/>
        <v>16118.264</v>
      </c>
      <c r="K152" s="4">
        <f t="shared" si="20"/>
        <v>323124.85099999997</v>
      </c>
      <c r="L152" s="4"/>
    </row>
    <row r="153" spans="1:12" ht="12.75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" t="s">
        <v>166</v>
      </c>
      <c r="B154" s="1" t="s">
        <v>167</v>
      </c>
      <c r="C154" s="4">
        <f>12177224/1000</f>
        <v>12177.224</v>
      </c>
      <c r="D154" s="4">
        <f>9630638/1000</f>
        <v>9630.638</v>
      </c>
      <c r="E154" s="4">
        <f>19541983/1000</f>
        <v>19541.983</v>
      </c>
      <c r="F154" s="4">
        <f>3427515/1000</f>
        <v>3427.515</v>
      </c>
      <c r="G154" s="4">
        <f>6536706/1000</f>
        <v>6536.706</v>
      </c>
      <c r="H154" s="4">
        <f>1673741/1000</f>
        <v>1673.741</v>
      </c>
      <c r="I154" s="4">
        <f>433524/1000</f>
        <v>433.524</v>
      </c>
      <c r="J154" s="4">
        <f>1947070/1000</f>
        <v>1947.07</v>
      </c>
      <c r="K154" s="4">
        <f aca="true" t="shared" si="21" ref="K154:K166">SUM(C154:J154)</f>
        <v>55368.401</v>
      </c>
      <c r="L154" s="2"/>
    </row>
    <row r="155" spans="1:12" ht="12.75">
      <c r="A155" s="3" t="s">
        <v>168</v>
      </c>
      <c r="B155" s="1" t="s">
        <v>169</v>
      </c>
      <c r="C155" s="4">
        <f>5584514/1000</f>
        <v>5584.514</v>
      </c>
      <c r="D155" s="4">
        <f>5998151/1000</f>
        <v>5998.151</v>
      </c>
      <c r="E155" s="4">
        <f>13307452/1000</f>
        <v>13307.452</v>
      </c>
      <c r="F155" s="4">
        <f>2091245/1000</f>
        <v>2091.245</v>
      </c>
      <c r="G155" s="4">
        <f>4800727/1000</f>
        <v>4800.727</v>
      </c>
      <c r="H155" s="4">
        <f>591398/1000</f>
        <v>591.398</v>
      </c>
      <c r="I155" s="4">
        <f>312276/1000</f>
        <v>312.276</v>
      </c>
      <c r="J155" s="4">
        <f>1609384/1000</f>
        <v>1609.384</v>
      </c>
      <c r="K155" s="4">
        <f t="shared" si="21"/>
        <v>34295.147</v>
      </c>
      <c r="L155" s="2"/>
    </row>
    <row r="156" spans="1:12" ht="12.75">
      <c r="A156" s="3" t="s">
        <v>170</v>
      </c>
      <c r="B156" s="1" t="s">
        <v>171</v>
      </c>
      <c r="C156" s="4">
        <f>5446998/1000</f>
        <v>5446.998</v>
      </c>
      <c r="D156" s="4">
        <f>6426278/1000</f>
        <v>6426.278</v>
      </c>
      <c r="E156" s="4">
        <f>8017098/1000</f>
        <v>8017.098</v>
      </c>
      <c r="F156" s="4">
        <f>832854/1000</f>
        <v>832.854</v>
      </c>
      <c r="G156" s="4">
        <f>3530093/1000</f>
        <v>3530.093</v>
      </c>
      <c r="H156" s="4">
        <f>340663/1000</f>
        <v>340.663</v>
      </c>
      <c r="I156" s="4">
        <v>0</v>
      </c>
      <c r="J156" s="4">
        <f>3079882/1000</f>
        <v>3079.882</v>
      </c>
      <c r="K156" s="4">
        <f t="shared" si="21"/>
        <v>27673.866</v>
      </c>
      <c r="L156" s="2"/>
    </row>
    <row r="157" spans="1:12" ht="12.75">
      <c r="A157" s="3">
        <v>106</v>
      </c>
      <c r="B157" s="1" t="s">
        <v>172</v>
      </c>
      <c r="C157" s="4">
        <f>2911690/1000</f>
        <v>2911.69</v>
      </c>
      <c r="D157" s="4">
        <f>3469941/1000</f>
        <v>3469.941</v>
      </c>
      <c r="E157" s="4">
        <f>8784061/1000</f>
        <v>8784.061</v>
      </c>
      <c r="F157" s="4">
        <f>1535798/1000</f>
        <v>1535.798</v>
      </c>
      <c r="G157" s="4">
        <f>2153067/1000</f>
        <v>2153.067</v>
      </c>
      <c r="H157" s="4">
        <f>165415/1000</f>
        <v>165.415</v>
      </c>
      <c r="I157" s="4">
        <f>281119/1000</f>
        <v>281.119</v>
      </c>
      <c r="J157" s="4">
        <f>1260269/1000</f>
        <v>1260.269</v>
      </c>
      <c r="K157" s="4">
        <f t="shared" si="21"/>
        <v>20561.359999999997</v>
      </c>
      <c r="L157" s="2"/>
    </row>
    <row r="158" spans="1:12" ht="12.75">
      <c r="A158" s="3">
        <v>137</v>
      </c>
      <c r="B158" s="1" t="s">
        <v>173</v>
      </c>
      <c r="C158" s="4">
        <f>4312882/1000</f>
        <v>4312.882</v>
      </c>
      <c r="D158" s="4">
        <f>3448501/1000</f>
        <v>3448.501</v>
      </c>
      <c r="E158" s="4">
        <f>8114373/1000</f>
        <v>8114.373</v>
      </c>
      <c r="F158" s="4">
        <f>1185882/1000</f>
        <v>1185.882</v>
      </c>
      <c r="G158" s="4">
        <f>2224611/1000</f>
        <v>2224.611</v>
      </c>
      <c r="H158" s="4">
        <f>127188/1000</f>
        <v>127.188</v>
      </c>
      <c r="I158" s="4">
        <f>140943/1000</f>
        <v>140.943</v>
      </c>
      <c r="J158" s="4">
        <f>1133816/1000</f>
        <v>1133.816</v>
      </c>
      <c r="K158" s="4">
        <f t="shared" si="21"/>
        <v>20688.195999999996</v>
      </c>
      <c r="L158" s="2"/>
    </row>
    <row r="159" spans="1:12" ht="12.75">
      <c r="A159" s="3">
        <v>154</v>
      </c>
      <c r="B159" s="1" t="s">
        <v>174</v>
      </c>
      <c r="C159" s="4">
        <f>4364535/1000</f>
        <v>4364.535</v>
      </c>
      <c r="D159" s="4">
        <f>4756234/1000</f>
        <v>4756.234</v>
      </c>
      <c r="E159" s="4">
        <f>10370770/1000</f>
        <v>10370.77</v>
      </c>
      <c r="F159" s="4">
        <f>1763908/1000</f>
        <v>1763.908</v>
      </c>
      <c r="G159" s="4">
        <f>2983266/1000</f>
        <v>2983.266</v>
      </c>
      <c r="H159" s="4">
        <f>520458/1000</f>
        <v>520.458</v>
      </c>
      <c r="I159" s="4">
        <f>332203/1000</f>
        <v>332.203</v>
      </c>
      <c r="J159" s="4">
        <f>1103977/1000</f>
        <v>1103.977</v>
      </c>
      <c r="K159" s="4">
        <f t="shared" si="21"/>
        <v>26195.351</v>
      </c>
      <c r="L159" s="2"/>
    </row>
    <row r="160" spans="1:12" ht="12.75">
      <c r="A160" s="3">
        <v>155</v>
      </c>
      <c r="B160" s="1" t="s">
        <v>175</v>
      </c>
      <c r="C160" s="4">
        <f>1046277/1000</f>
        <v>1046.277</v>
      </c>
      <c r="D160" s="4">
        <f>1207503/1000</f>
        <v>1207.503</v>
      </c>
      <c r="E160" s="4">
        <f>3123023/1000</f>
        <v>3123.023</v>
      </c>
      <c r="F160" s="4">
        <f>558284/1000</f>
        <v>558.284</v>
      </c>
      <c r="G160" s="4">
        <f>1071240/1000</f>
        <v>1071.24</v>
      </c>
      <c r="H160" s="4">
        <f>74716/1000</f>
        <v>74.716</v>
      </c>
      <c r="I160" s="4">
        <v>8.244</v>
      </c>
      <c r="J160" s="4">
        <f>501761/1000</f>
        <v>501.761</v>
      </c>
      <c r="K160" s="4">
        <f t="shared" si="21"/>
        <v>7591.048</v>
      </c>
      <c r="L160" s="2"/>
    </row>
    <row r="161" spans="1:12" ht="12.75">
      <c r="A161" s="3">
        <v>182</v>
      </c>
      <c r="B161" s="1" t="s">
        <v>176</v>
      </c>
      <c r="C161" s="4">
        <f>4258549/1000</f>
        <v>4258.549</v>
      </c>
      <c r="D161" s="4">
        <f>4262695/1000</f>
        <v>4262.695</v>
      </c>
      <c r="E161" s="4">
        <f>7097740/1000</f>
        <v>7097.74</v>
      </c>
      <c r="F161" s="4">
        <f>991645/1000</f>
        <v>991.645</v>
      </c>
      <c r="G161" s="4">
        <f>3069226/1000</f>
        <v>3069.226</v>
      </c>
      <c r="H161" s="4">
        <f>401286/1000</f>
        <v>401.286</v>
      </c>
      <c r="I161" s="4">
        <f>297047/1000</f>
        <v>297.047</v>
      </c>
      <c r="J161" s="4">
        <f>1125117/1000</f>
        <v>1125.117</v>
      </c>
      <c r="K161" s="4">
        <f t="shared" si="21"/>
        <v>21503.304999999993</v>
      </c>
      <c r="L161" s="2"/>
    </row>
    <row r="162" spans="1:12" ht="12.75">
      <c r="A162" s="3" t="s">
        <v>177</v>
      </c>
      <c r="B162" s="1" t="s">
        <v>169</v>
      </c>
      <c r="C162" s="4">
        <f>6126574/1000</f>
        <v>6126.574</v>
      </c>
      <c r="D162" s="4">
        <f>5907791/1000</f>
        <v>5907.791</v>
      </c>
      <c r="E162" s="4">
        <f>12538546/1000</f>
        <v>12538.546</v>
      </c>
      <c r="F162" s="4">
        <f>3011389/1000</f>
        <v>3011.389</v>
      </c>
      <c r="G162" s="4">
        <f>5031556/1000</f>
        <v>5031.556</v>
      </c>
      <c r="H162" s="4">
        <f>1309673/1000</f>
        <v>1309.673</v>
      </c>
      <c r="I162" s="4">
        <f>286774/1000</f>
        <v>286.774</v>
      </c>
      <c r="J162" s="4">
        <f>1036739/1000</f>
        <v>1036.739</v>
      </c>
      <c r="K162" s="4">
        <f t="shared" si="21"/>
        <v>35249.042</v>
      </c>
      <c r="L162" s="2"/>
    </row>
    <row r="163" spans="1:12" ht="12.75">
      <c r="A163" s="3">
        <v>267</v>
      </c>
      <c r="B163" s="1" t="s">
        <v>178</v>
      </c>
      <c r="C163" s="4">
        <f>4912546/1000</f>
        <v>4912.546</v>
      </c>
      <c r="D163" s="4">
        <f>5211242/1000</f>
        <v>5211.242</v>
      </c>
      <c r="E163" s="4">
        <f>9244274/1000</f>
        <v>9244.274</v>
      </c>
      <c r="F163" s="4">
        <f>722391/1000</f>
        <v>722.391</v>
      </c>
      <c r="G163" s="4">
        <f>3960587/1000</f>
        <v>3960.587</v>
      </c>
      <c r="H163" s="4">
        <f>272300/1000</f>
        <v>272.3</v>
      </c>
      <c r="I163" s="4">
        <f>650695/1000</f>
        <v>650.695</v>
      </c>
      <c r="J163" s="4">
        <f>1266033/1000</f>
        <v>1266.033</v>
      </c>
      <c r="K163" s="4">
        <f t="shared" si="21"/>
        <v>26240.067999999996</v>
      </c>
      <c r="L163" s="2"/>
    </row>
    <row r="164" spans="1:12" ht="12.75">
      <c r="A164" s="3">
        <v>272</v>
      </c>
      <c r="B164" s="1" t="s">
        <v>179</v>
      </c>
      <c r="C164" s="4">
        <f>1792310/1000</f>
        <v>1792.31</v>
      </c>
      <c r="D164" s="4">
        <f>1502610/1000</f>
        <v>1502.61</v>
      </c>
      <c r="E164" s="4">
        <f>3801874/1000</f>
        <v>3801.874</v>
      </c>
      <c r="F164" s="4">
        <f>705180/1000</f>
        <v>705.18</v>
      </c>
      <c r="G164" s="4">
        <f>1454555/1000</f>
        <v>1454.555</v>
      </c>
      <c r="H164" s="4">
        <f>137038/1000</f>
        <v>137.038</v>
      </c>
      <c r="I164" s="4">
        <f>238207/1000</f>
        <v>238.207</v>
      </c>
      <c r="J164" s="4">
        <f>409849/1000</f>
        <v>409.849</v>
      </c>
      <c r="K164" s="4">
        <f t="shared" si="21"/>
        <v>10041.623000000001</v>
      </c>
      <c r="L164" s="2"/>
    </row>
    <row r="165" spans="1:12" ht="12.75">
      <c r="A165" s="3">
        <v>274</v>
      </c>
      <c r="B165" s="1" t="s">
        <v>180</v>
      </c>
      <c r="C165" s="4">
        <f>5067914/1000</f>
        <v>5067.914</v>
      </c>
      <c r="D165" s="4">
        <f>4777693/1000</f>
        <v>4777.693</v>
      </c>
      <c r="E165" s="4">
        <f>10860620/1000</f>
        <v>10860.62</v>
      </c>
      <c r="F165" s="4">
        <f>1061754/1000</f>
        <v>1061.754</v>
      </c>
      <c r="G165" s="4">
        <f>3943942/1000</f>
        <v>3943.942</v>
      </c>
      <c r="H165" s="4">
        <f>271872/1000</f>
        <v>271.872</v>
      </c>
      <c r="I165" s="4">
        <f>75742/1000</f>
        <v>75.742</v>
      </c>
      <c r="J165" s="4">
        <f>1172273/1000</f>
        <v>1172.273</v>
      </c>
      <c r="K165" s="4">
        <f t="shared" si="21"/>
        <v>27231.809999999998</v>
      </c>
      <c r="L165" s="2"/>
    </row>
    <row r="166" spans="1:12" ht="12.75">
      <c r="A166" s="3">
        <v>283</v>
      </c>
      <c r="B166" s="1" t="s">
        <v>181</v>
      </c>
      <c r="C166" s="4">
        <f>2789141/1000</f>
        <v>2789.141</v>
      </c>
      <c r="D166" s="4">
        <f>1943158/1000</f>
        <v>1943.158</v>
      </c>
      <c r="E166" s="4">
        <f>3686781/1000</f>
        <v>3686.781</v>
      </c>
      <c r="F166" s="4">
        <f>474381/1000</f>
        <v>474.381</v>
      </c>
      <c r="G166" s="4">
        <f>711214/1000</f>
        <v>711.214</v>
      </c>
      <c r="H166" s="4">
        <f>96524/1000</f>
        <v>96.524</v>
      </c>
      <c r="I166" s="4">
        <f>312341/1000</f>
        <v>312.341</v>
      </c>
      <c r="J166" s="4">
        <f>472094/1000</f>
        <v>472.094</v>
      </c>
      <c r="K166" s="4">
        <f t="shared" si="21"/>
        <v>10485.633999999998</v>
      </c>
      <c r="L166" s="2"/>
    </row>
    <row r="167" spans="1:12" ht="12.75">
      <c r="A167" s="6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2"/>
    </row>
    <row r="168" spans="1:12" ht="12.75">
      <c r="A168" s="6"/>
      <c r="B168" s="3" t="s">
        <v>182</v>
      </c>
      <c r="C168" s="4">
        <f>SUM(C170:C177)</f>
        <v>59572.738000000005</v>
      </c>
      <c r="D168" s="4">
        <f>SUM(D170:D177)</f>
        <v>49423.973</v>
      </c>
      <c r="E168" s="4">
        <f>SUM(E170:E177)</f>
        <v>99578.02</v>
      </c>
      <c r="F168" s="4">
        <f aca="true" t="shared" si="22" ref="F168:K168">SUM(F170:F177)</f>
        <v>11031.338</v>
      </c>
      <c r="G168" s="4">
        <f t="shared" si="22"/>
        <v>32801.659999999996</v>
      </c>
      <c r="H168" s="4">
        <f t="shared" si="22"/>
        <v>4444.118999999999</v>
      </c>
      <c r="I168" s="4">
        <f t="shared" si="22"/>
        <v>61741.138999999996</v>
      </c>
      <c r="J168" s="4">
        <f t="shared" si="22"/>
        <v>4363.673</v>
      </c>
      <c r="K168" s="4">
        <f t="shared" si="22"/>
        <v>322956.66</v>
      </c>
      <c r="L168" s="2"/>
    </row>
    <row r="169" spans="1:12" ht="12.75">
      <c r="A169" s="6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2"/>
    </row>
    <row r="170" spans="1:12" ht="12.75">
      <c r="A170" s="3" t="s">
        <v>183</v>
      </c>
      <c r="B170" s="1" t="s">
        <v>184</v>
      </c>
      <c r="C170" s="4">
        <f>12483867/1000</f>
        <v>12483.867</v>
      </c>
      <c r="D170" s="4">
        <f>11110952/1000</f>
        <v>11110.952</v>
      </c>
      <c r="E170" s="4">
        <f>20593786/1000</f>
        <v>20593.786</v>
      </c>
      <c r="F170" s="4">
        <f>2854070/1000</f>
        <v>2854.07</v>
      </c>
      <c r="G170" s="4">
        <f>7742389/1000</f>
        <v>7742.389</v>
      </c>
      <c r="H170" s="4">
        <f>917680/1000</f>
        <v>917.68</v>
      </c>
      <c r="I170" s="4">
        <f>1552525/1000</f>
        <v>1552.525</v>
      </c>
      <c r="J170" s="4">
        <f>722829/1000</f>
        <v>722.829</v>
      </c>
      <c r="K170" s="4">
        <f aca="true" t="shared" si="23" ref="K170:K177">SUM(C170:J170)</f>
        <v>57978.098</v>
      </c>
      <c r="L170" s="2"/>
    </row>
    <row r="171" spans="1:12" ht="12.75">
      <c r="A171" s="3" t="s">
        <v>185</v>
      </c>
      <c r="B171" s="1" t="s">
        <v>186</v>
      </c>
      <c r="C171" s="4">
        <f>4359557/1000</f>
        <v>4359.557</v>
      </c>
      <c r="D171" s="4">
        <f>3955016/1000</f>
        <v>3955.016</v>
      </c>
      <c r="E171" s="4">
        <f>7478176/1000</f>
        <v>7478.176</v>
      </c>
      <c r="F171" s="4">
        <f>828147/1000</f>
        <v>828.147</v>
      </c>
      <c r="G171" s="4">
        <f>2159138/1000</f>
        <v>2159.138</v>
      </c>
      <c r="H171" s="4">
        <f>264893/1000</f>
        <v>264.893</v>
      </c>
      <c r="I171" s="4">
        <f>3682129/1000</f>
        <v>3682.129</v>
      </c>
      <c r="J171" s="4">
        <f>773723/1000</f>
        <v>773.723</v>
      </c>
      <c r="K171" s="4">
        <f t="shared" si="23"/>
        <v>23500.779000000002</v>
      </c>
      <c r="L171" s="2"/>
    </row>
    <row r="172" spans="1:12" ht="12.75">
      <c r="A172" s="3">
        <v>136</v>
      </c>
      <c r="B172" s="1" t="s">
        <v>187</v>
      </c>
      <c r="C172" s="4">
        <f>10787029/1000</f>
        <v>10787.029</v>
      </c>
      <c r="D172" s="4">
        <f>5975936/1000</f>
        <v>5975.936</v>
      </c>
      <c r="E172" s="4">
        <f>11460056/1000</f>
        <v>11460.056</v>
      </c>
      <c r="F172" s="4">
        <f>1622387/1000</f>
        <v>1622.387</v>
      </c>
      <c r="G172" s="4">
        <f>4668863/1000</f>
        <v>4668.863</v>
      </c>
      <c r="H172" s="4">
        <f>593281/1000</f>
        <v>593.281</v>
      </c>
      <c r="I172" s="4">
        <f>15028437/1000</f>
        <v>15028.437</v>
      </c>
      <c r="J172" s="4">
        <f>632032/1000</f>
        <v>632.032</v>
      </c>
      <c r="K172" s="4">
        <f t="shared" si="23"/>
        <v>50768.021</v>
      </c>
      <c r="L172" s="2"/>
    </row>
    <row r="173" spans="1:12" ht="12.75">
      <c r="A173" s="3">
        <v>160</v>
      </c>
      <c r="B173" s="1" t="s">
        <v>188</v>
      </c>
      <c r="C173" s="4">
        <f>7583250/1000</f>
        <v>7583.25</v>
      </c>
      <c r="D173" s="4">
        <f>7185635/1000</f>
        <v>7185.635</v>
      </c>
      <c r="E173" s="4">
        <f>13732729/1000</f>
        <v>13732.729</v>
      </c>
      <c r="F173" s="4">
        <f>895088/1000</f>
        <v>895.088</v>
      </c>
      <c r="G173" s="4">
        <f>4095382/1000</f>
        <v>4095.382</v>
      </c>
      <c r="H173" s="4">
        <f>710117/1000</f>
        <v>710.117</v>
      </c>
      <c r="I173" s="4">
        <f>8970630/1000</f>
        <v>8970.63</v>
      </c>
      <c r="J173" s="4">
        <f>804254/1000</f>
        <v>804.254</v>
      </c>
      <c r="K173" s="4">
        <f t="shared" si="23"/>
        <v>43977.085</v>
      </c>
      <c r="L173" s="2"/>
    </row>
    <row r="174" spans="1:12" ht="12.75">
      <c r="A174" s="3">
        <v>176</v>
      </c>
      <c r="B174" s="1" t="s">
        <v>189</v>
      </c>
      <c r="C174" s="4">
        <f>6919972/1000</f>
        <v>6919.972</v>
      </c>
      <c r="D174" s="4">
        <f>5860222/1000</f>
        <v>5860.222</v>
      </c>
      <c r="E174" s="4">
        <f>15531761/1000</f>
        <v>15531.761</v>
      </c>
      <c r="F174" s="4">
        <f>1196481/1000</f>
        <v>1196.481</v>
      </c>
      <c r="G174" s="4">
        <f>4472332/1000</f>
        <v>4472.332</v>
      </c>
      <c r="H174" s="4">
        <f>403651/1000</f>
        <v>403.651</v>
      </c>
      <c r="I174" s="4">
        <f>13287757/1000</f>
        <v>13287.757</v>
      </c>
      <c r="J174" s="4">
        <f>375837/1000</f>
        <v>375.837</v>
      </c>
      <c r="K174" s="4">
        <f t="shared" si="23"/>
        <v>48048.013</v>
      </c>
      <c r="L174" s="2"/>
    </row>
    <row r="175" spans="1:12" ht="12.75">
      <c r="A175" s="3">
        <v>194</v>
      </c>
      <c r="B175" s="1" t="s">
        <v>190</v>
      </c>
      <c r="C175" s="4">
        <f>7793964/1000</f>
        <v>7793.964</v>
      </c>
      <c r="D175" s="4">
        <f>6324316/1000</f>
        <v>6324.316</v>
      </c>
      <c r="E175" s="4">
        <f>15336883/1000</f>
        <v>15336.883</v>
      </c>
      <c r="F175" s="4">
        <f>1885070/1000</f>
        <v>1885.07</v>
      </c>
      <c r="G175" s="4">
        <f>4798963/1000</f>
        <v>4798.963</v>
      </c>
      <c r="H175" s="4">
        <f>722977/1000</f>
        <v>722.977</v>
      </c>
      <c r="I175" s="4">
        <f>14471719/1000</f>
        <v>14471.719</v>
      </c>
      <c r="J175" s="4">
        <f>391486/1000</f>
        <v>391.486</v>
      </c>
      <c r="K175" s="4">
        <f t="shared" si="23"/>
        <v>51725.37799999999</v>
      </c>
      <c r="L175" s="2"/>
    </row>
    <row r="176" spans="1:12" ht="12.75">
      <c r="A176" s="3">
        <v>229</v>
      </c>
      <c r="B176" s="1" t="s">
        <v>184</v>
      </c>
      <c r="C176" s="4">
        <f>6806726/1000</f>
        <v>6806.726</v>
      </c>
      <c r="D176" s="4">
        <f>6107335/1000</f>
        <v>6107.335</v>
      </c>
      <c r="E176" s="4">
        <f>10719340/1000</f>
        <v>10719.34</v>
      </c>
      <c r="F176" s="4">
        <f>1303077/1000</f>
        <v>1303.077</v>
      </c>
      <c r="G176" s="4">
        <f>3492912/1000</f>
        <v>3492.912</v>
      </c>
      <c r="H176" s="4">
        <f>730851/1000</f>
        <v>730.851</v>
      </c>
      <c r="I176" s="4">
        <f>4523336/1000</f>
        <v>4523.336</v>
      </c>
      <c r="J176" s="4">
        <f>351523/1000</f>
        <v>351.523</v>
      </c>
      <c r="K176" s="4">
        <f t="shared" si="23"/>
        <v>34035.1</v>
      </c>
      <c r="L176" s="2"/>
    </row>
    <row r="177" spans="1:12" ht="12.75">
      <c r="A177" s="3">
        <v>273</v>
      </c>
      <c r="B177" s="1" t="s">
        <v>184</v>
      </c>
      <c r="C177" s="4">
        <f>2838373/1000</f>
        <v>2838.373</v>
      </c>
      <c r="D177" s="4">
        <f>2904561/1000</f>
        <v>2904.561</v>
      </c>
      <c r="E177" s="4">
        <f>4725289/1000</f>
        <v>4725.289</v>
      </c>
      <c r="F177" s="4">
        <f>447018/1000</f>
        <v>447.018</v>
      </c>
      <c r="G177" s="4">
        <f>1371681/1000</f>
        <v>1371.681</v>
      </c>
      <c r="H177" s="4">
        <f>100669/1000</f>
        <v>100.669</v>
      </c>
      <c r="I177" s="4">
        <f>224606/1000</f>
        <v>224.606</v>
      </c>
      <c r="J177" s="4">
        <f>311989/1000</f>
        <v>311.989</v>
      </c>
      <c r="K177" s="4">
        <f t="shared" si="23"/>
        <v>12924.186</v>
      </c>
      <c r="L177" s="2"/>
    </row>
    <row r="178" spans="1:12" ht="12.75">
      <c r="A178" s="6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2"/>
    </row>
    <row r="179" spans="1:12" ht="12.75">
      <c r="A179" s="6"/>
      <c r="B179" s="3" t="s">
        <v>191</v>
      </c>
      <c r="C179" s="4">
        <f>SUM(C181:C188)</f>
        <v>59054.356999999996</v>
      </c>
      <c r="D179" s="4">
        <f>SUM(D181:D188)</f>
        <v>66895.213</v>
      </c>
      <c r="E179" s="4">
        <f>SUM(E181:E188)</f>
        <v>125566.65000000001</v>
      </c>
      <c r="F179" s="4">
        <f aca="true" t="shared" si="24" ref="F179:K179">SUM(F181:F188)</f>
        <v>12731.697</v>
      </c>
      <c r="G179" s="4">
        <f t="shared" si="24"/>
        <v>28552.210000000003</v>
      </c>
      <c r="H179" s="4">
        <f t="shared" si="24"/>
        <v>3431.032</v>
      </c>
      <c r="I179" s="4">
        <f t="shared" si="24"/>
        <v>18292.354999999996</v>
      </c>
      <c r="J179" s="4">
        <f t="shared" si="24"/>
        <v>3479</v>
      </c>
      <c r="K179" s="4">
        <f t="shared" si="24"/>
        <v>318002.514</v>
      </c>
      <c r="L179" s="2"/>
    </row>
    <row r="180" spans="1:12" ht="12.75">
      <c r="A180" s="6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2"/>
    </row>
    <row r="181" spans="1:12" ht="12.75">
      <c r="A181" s="3" t="s">
        <v>192</v>
      </c>
      <c r="B181" s="1" t="s">
        <v>193</v>
      </c>
      <c r="C181" s="4">
        <f>6216657/1000</f>
        <v>6216.657</v>
      </c>
      <c r="D181" s="4">
        <f>8793956/1000</f>
        <v>8793.956</v>
      </c>
      <c r="E181" s="4">
        <f>12413644/1000</f>
        <v>12413.644</v>
      </c>
      <c r="F181" s="4">
        <f>1089009/1000</f>
        <v>1089.009</v>
      </c>
      <c r="G181" s="4">
        <f>3389373/1000</f>
        <v>3389.373</v>
      </c>
      <c r="H181" s="4">
        <f>182610/1000</f>
        <v>182.61</v>
      </c>
      <c r="I181" s="4">
        <f>3265630/1000</f>
        <v>3265.63</v>
      </c>
      <c r="J181" s="4">
        <v>330</v>
      </c>
      <c r="K181" s="4">
        <f aca="true" t="shared" si="25" ref="K181:K188">SUM(C181:J181)</f>
        <v>35680.879</v>
      </c>
      <c r="L181" s="2"/>
    </row>
    <row r="182" spans="1:12" ht="12.75">
      <c r="A182" s="3" t="s">
        <v>194</v>
      </c>
      <c r="B182" s="1" t="s">
        <v>195</v>
      </c>
      <c r="C182" s="4">
        <f>17685902/1000</f>
        <v>17685.902</v>
      </c>
      <c r="D182" s="4">
        <f>18975771/1000</f>
        <v>18975.771</v>
      </c>
      <c r="E182" s="4">
        <f>39350964/1000</f>
        <v>39350.964</v>
      </c>
      <c r="F182" s="4">
        <f>5204050/1000</f>
        <v>5204.05</v>
      </c>
      <c r="G182" s="4">
        <f>10082519/1000</f>
        <v>10082.519</v>
      </c>
      <c r="H182" s="4">
        <f>1642758/1000</f>
        <v>1642.758</v>
      </c>
      <c r="I182" s="4">
        <f>1272661/1000</f>
        <v>1272.661</v>
      </c>
      <c r="J182" s="4">
        <v>909</v>
      </c>
      <c r="K182" s="4">
        <f t="shared" si="25"/>
        <v>95123.625</v>
      </c>
      <c r="L182" s="2"/>
    </row>
    <row r="183" spans="1:12" ht="12.75">
      <c r="A183" s="3" t="s">
        <v>196</v>
      </c>
      <c r="B183" s="1" t="s">
        <v>197</v>
      </c>
      <c r="C183" s="4">
        <f>4786044/1000</f>
        <v>4786.044</v>
      </c>
      <c r="D183" s="4">
        <f>5491143/1000</f>
        <v>5491.143</v>
      </c>
      <c r="E183" s="4">
        <f>11504129/1000</f>
        <v>11504.129</v>
      </c>
      <c r="F183" s="4">
        <f>705278/1000</f>
        <v>705.278</v>
      </c>
      <c r="G183" s="4">
        <f>2661753/1000</f>
        <v>2661.753</v>
      </c>
      <c r="H183" s="4">
        <f>334828/1000</f>
        <v>334.828</v>
      </c>
      <c r="I183" s="4">
        <f>3551164/1000</f>
        <v>3551.164</v>
      </c>
      <c r="J183" s="4">
        <v>148</v>
      </c>
      <c r="K183" s="4">
        <f t="shared" si="25"/>
        <v>29182.339</v>
      </c>
      <c r="L183" s="2"/>
    </row>
    <row r="184" spans="1:12" ht="12.75">
      <c r="A184" s="3" t="s">
        <v>198</v>
      </c>
      <c r="B184" s="1" t="s">
        <v>199</v>
      </c>
      <c r="C184" s="4">
        <f>3935761/1000</f>
        <v>3935.761</v>
      </c>
      <c r="D184" s="4">
        <f>4796247/1000</f>
        <v>4796.247</v>
      </c>
      <c r="E184" s="4">
        <f>7829591/1000</f>
        <v>7829.591</v>
      </c>
      <c r="F184" s="4">
        <f>950775/1000</f>
        <v>950.775</v>
      </c>
      <c r="G184" s="4">
        <f>1704545/1000</f>
        <v>1704.545</v>
      </c>
      <c r="H184" s="4">
        <f>180231/1000</f>
        <v>180.231</v>
      </c>
      <c r="I184" s="4">
        <f>1060790/1000</f>
        <v>1060.79</v>
      </c>
      <c r="J184" s="4">
        <v>203</v>
      </c>
      <c r="K184" s="4">
        <f t="shared" si="25"/>
        <v>20660.940000000002</v>
      </c>
      <c r="L184" s="2"/>
    </row>
    <row r="185" spans="1:12" ht="12.75">
      <c r="A185" s="3">
        <v>114</v>
      </c>
      <c r="B185" s="1" t="s">
        <v>200</v>
      </c>
      <c r="C185" s="4">
        <f>6751355/1000</f>
        <v>6751.355</v>
      </c>
      <c r="D185" s="4">
        <f>7400709/1000</f>
        <v>7400.709</v>
      </c>
      <c r="E185" s="4">
        <f>15288834/1000</f>
        <v>15288.834</v>
      </c>
      <c r="F185" s="4">
        <f>1184248/1000</f>
        <v>1184.248</v>
      </c>
      <c r="G185" s="4">
        <f>1941933/1000</f>
        <v>1941.933</v>
      </c>
      <c r="H185" s="4">
        <f>142900/1000</f>
        <v>142.9</v>
      </c>
      <c r="I185" s="4">
        <f>1197210/1000</f>
        <v>1197.21</v>
      </c>
      <c r="J185" s="4">
        <v>179</v>
      </c>
      <c r="K185" s="4">
        <f t="shared" si="25"/>
        <v>34086.189000000006</v>
      </c>
      <c r="L185" s="2"/>
    </row>
    <row r="186" spans="1:12" ht="12.75">
      <c r="A186" s="3">
        <v>117</v>
      </c>
      <c r="B186" s="1" t="s">
        <v>201</v>
      </c>
      <c r="C186" s="4">
        <f>5747306/1000</f>
        <v>5747.306</v>
      </c>
      <c r="D186" s="4">
        <f>7533224/1000</f>
        <v>7533.224</v>
      </c>
      <c r="E186" s="4">
        <f>11737200/1000</f>
        <v>11737.2</v>
      </c>
      <c r="F186" s="4">
        <f>962195/1000</f>
        <v>962.195</v>
      </c>
      <c r="G186" s="4">
        <f>2812424/1000</f>
        <v>2812.424</v>
      </c>
      <c r="H186" s="4">
        <f>288054/1000</f>
        <v>288.054</v>
      </c>
      <c r="I186" s="4">
        <f>2026170/1000</f>
        <v>2026.17</v>
      </c>
      <c r="J186" s="4">
        <v>924</v>
      </c>
      <c r="K186" s="4">
        <f t="shared" si="25"/>
        <v>32030.572999999997</v>
      </c>
      <c r="L186" s="2"/>
    </row>
    <row r="187" spans="1:12" ht="12.75">
      <c r="A187" s="3">
        <v>230</v>
      </c>
      <c r="B187" s="1" t="s">
        <v>193</v>
      </c>
      <c r="C187" s="4">
        <f>9658800/1000</f>
        <v>9658.8</v>
      </c>
      <c r="D187" s="4">
        <f>10962097/1000</f>
        <v>10962.097</v>
      </c>
      <c r="E187" s="4">
        <f>21569289/1000</f>
        <v>21569.289</v>
      </c>
      <c r="F187" s="4">
        <f>2280530/1000</f>
        <v>2280.53</v>
      </c>
      <c r="G187" s="4">
        <f>5181076/1000</f>
        <v>5181.076</v>
      </c>
      <c r="H187" s="4">
        <f>601293/1000</f>
        <v>601.293</v>
      </c>
      <c r="I187" s="4">
        <f>5832129/1000</f>
        <v>5832.129</v>
      </c>
      <c r="J187" s="4">
        <v>684</v>
      </c>
      <c r="K187" s="4">
        <f t="shared" si="25"/>
        <v>56769.214</v>
      </c>
      <c r="L187" s="2"/>
    </row>
    <row r="188" spans="1:12" ht="12.75">
      <c r="A188" s="3">
        <v>260</v>
      </c>
      <c r="B188" s="1" t="s">
        <v>202</v>
      </c>
      <c r="C188" s="4">
        <f>4272532/1000</f>
        <v>4272.532</v>
      </c>
      <c r="D188" s="4">
        <f>2942066/1000</f>
        <v>2942.066</v>
      </c>
      <c r="E188" s="4">
        <f>5872999/1000</f>
        <v>5872.999</v>
      </c>
      <c r="F188" s="4">
        <f>355612/1000</f>
        <v>355.612</v>
      </c>
      <c r="G188" s="4">
        <f>778587/1000</f>
        <v>778.587</v>
      </c>
      <c r="H188" s="4">
        <f>58358/1000</f>
        <v>58.358</v>
      </c>
      <c r="I188" s="4">
        <f>86601/1000</f>
        <v>86.601</v>
      </c>
      <c r="J188" s="4">
        <v>102</v>
      </c>
      <c r="K188" s="4">
        <f t="shared" si="25"/>
        <v>14468.755</v>
      </c>
      <c r="L188" s="2"/>
    </row>
    <row r="189" spans="1:12" ht="12.75">
      <c r="A189" s="6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2"/>
    </row>
    <row r="190" spans="1:12" ht="12.75">
      <c r="A190" s="6"/>
      <c r="B190" s="3" t="s">
        <v>203</v>
      </c>
      <c r="C190" s="4">
        <f aca="true" t="shared" si="26" ref="C190:K190">SUM(C192:C198)</f>
        <v>43064.498</v>
      </c>
      <c r="D190" s="4">
        <f t="shared" si="26"/>
        <v>41346.284</v>
      </c>
      <c r="E190" s="4">
        <f t="shared" si="26"/>
        <v>68767.708</v>
      </c>
      <c r="F190" s="4">
        <f t="shared" si="26"/>
        <v>6263.522000000001</v>
      </c>
      <c r="G190" s="4">
        <f t="shared" si="26"/>
        <v>18535.046</v>
      </c>
      <c r="H190" s="4">
        <f t="shared" si="26"/>
        <v>3855.4870000000005</v>
      </c>
      <c r="I190" s="4">
        <f t="shared" si="26"/>
        <v>13542.923</v>
      </c>
      <c r="J190" s="4">
        <f t="shared" si="26"/>
        <v>3661.352</v>
      </c>
      <c r="K190" s="4">
        <f t="shared" si="26"/>
        <v>199036.82</v>
      </c>
      <c r="L190" s="2"/>
    </row>
    <row r="191" spans="1:12" ht="12.75">
      <c r="A191" s="6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2"/>
    </row>
    <row r="192" spans="1:12" ht="12.75">
      <c r="A192" s="3" t="s">
        <v>204</v>
      </c>
      <c r="B192" s="1" t="s">
        <v>205</v>
      </c>
      <c r="C192" s="4">
        <f>5935593/1000</f>
        <v>5935.593</v>
      </c>
      <c r="D192" s="4">
        <f>5679812/1000</f>
        <v>5679.812</v>
      </c>
      <c r="E192" s="4">
        <f>3227528/1000</f>
        <v>3227.528</v>
      </c>
      <c r="F192" s="4">
        <f>1133929/1000</f>
        <v>1133.929</v>
      </c>
      <c r="G192" s="4">
        <f>1916749/1000</f>
        <v>1916.749</v>
      </c>
      <c r="H192" s="4">
        <f>359782/1000</f>
        <v>359.782</v>
      </c>
      <c r="I192" s="4">
        <f>2087081/1000</f>
        <v>2087.081</v>
      </c>
      <c r="J192" s="4">
        <f>335983/1000</f>
        <v>335.983</v>
      </c>
      <c r="K192" s="4">
        <f aca="true" t="shared" si="27" ref="K192:K197">SUM(C192:J192)</f>
        <v>20676.457000000002</v>
      </c>
      <c r="L192" s="2"/>
    </row>
    <row r="193" spans="1:12" ht="12.75">
      <c r="A193" s="3" t="s">
        <v>206</v>
      </c>
      <c r="B193" s="1" t="s">
        <v>207</v>
      </c>
      <c r="C193" s="4">
        <f>1746800/1000</f>
        <v>1746.8</v>
      </c>
      <c r="D193" s="4">
        <f>1991153/1000</f>
        <v>1991.153</v>
      </c>
      <c r="E193" s="4">
        <f>4004153/1000</f>
        <v>4004.153</v>
      </c>
      <c r="F193" s="4">
        <f>188852/1000</f>
        <v>188.852</v>
      </c>
      <c r="G193" s="4">
        <f>1014537/1000</f>
        <v>1014.537</v>
      </c>
      <c r="H193" s="4">
        <f>197406/1000</f>
        <v>197.406</v>
      </c>
      <c r="I193" s="4">
        <f>1745557/1000</f>
        <v>1745.557</v>
      </c>
      <c r="J193" s="4">
        <f>450791/1000</f>
        <v>450.791</v>
      </c>
      <c r="K193" s="4">
        <f t="shared" si="27"/>
        <v>11339.249</v>
      </c>
      <c r="L193" s="2"/>
    </row>
    <row r="194" spans="1:12" ht="12.75">
      <c r="A194" s="3" t="s">
        <v>208</v>
      </c>
      <c r="B194" s="1" t="s">
        <v>209</v>
      </c>
      <c r="C194" s="4">
        <f>5674122/1000</f>
        <v>5674.122</v>
      </c>
      <c r="D194" s="4">
        <f>6356036/1000</f>
        <v>6356.036</v>
      </c>
      <c r="E194" s="4">
        <f>12228928/1000</f>
        <v>12228.928</v>
      </c>
      <c r="F194" s="4">
        <f>903111/1000</f>
        <v>903.111</v>
      </c>
      <c r="G194" s="4">
        <f>3302374/1000</f>
        <v>3302.374</v>
      </c>
      <c r="H194" s="4">
        <f>643088/1000</f>
        <v>643.088</v>
      </c>
      <c r="I194" s="4">
        <f>3400786/1000</f>
        <v>3400.786</v>
      </c>
      <c r="J194" s="4">
        <f>683428/1000</f>
        <v>683.428</v>
      </c>
      <c r="K194" s="4">
        <f t="shared" si="27"/>
        <v>33191.873</v>
      </c>
      <c r="L194" s="2"/>
    </row>
    <row r="195" spans="1:12" ht="12.75">
      <c r="A195" s="3" t="s">
        <v>210</v>
      </c>
      <c r="B195" s="1" t="s">
        <v>211</v>
      </c>
      <c r="C195" s="4">
        <f>8263109/1000</f>
        <v>8263.109</v>
      </c>
      <c r="D195" s="4">
        <f>6826541/1000</f>
        <v>6826.541</v>
      </c>
      <c r="E195" s="4">
        <f>11096143/1000</f>
        <v>11096.143</v>
      </c>
      <c r="F195" s="4">
        <f>811224/1000</f>
        <v>811.224</v>
      </c>
      <c r="G195" s="4">
        <f>3507679/1000</f>
        <v>3507.679</v>
      </c>
      <c r="H195" s="4">
        <f>579659/1000</f>
        <v>579.659</v>
      </c>
      <c r="I195" s="4">
        <f>(3320245+25366)/1000</f>
        <v>3345.611</v>
      </c>
      <c r="J195" s="4">
        <f>470963/1000</f>
        <v>470.963</v>
      </c>
      <c r="K195" s="4">
        <f t="shared" si="27"/>
        <v>34900.929000000004</v>
      </c>
      <c r="L195" s="2"/>
    </row>
    <row r="196" spans="1:12" ht="12.75">
      <c r="A196" s="3" t="s">
        <v>212</v>
      </c>
      <c r="B196" s="1" t="s">
        <v>213</v>
      </c>
      <c r="C196" s="4">
        <f>5852173/1000</f>
        <v>5852.173</v>
      </c>
      <c r="D196" s="4">
        <f>(25366+7102441)/1000</f>
        <v>7127.807</v>
      </c>
      <c r="E196" s="4">
        <f>13300324/1000</f>
        <v>13300.324</v>
      </c>
      <c r="F196" s="4">
        <f>1090370/1000</f>
        <v>1090.37</v>
      </c>
      <c r="G196" s="4">
        <f>3370694/1000</f>
        <v>3370.694</v>
      </c>
      <c r="H196" s="4">
        <f>1157718/1000</f>
        <v>1157.718</v>
      </c>
      <c r="I196" s="4">
        <f>1715088/1000</f>
        <v>1715.088</v>
      </c>
      <c r="J196" s="4">
        <f>928048/1000</f>
        <v>928.048</v>
      </c>
      <c r="K196" s="4">
        <f t="shared" si="27"/>
        <v>34542.222</v>
      </c>
      <c r="L196" s="2"/>
    </row>
    <row r="197" spans="1:12" ht="12.75">
      <c r="A197" s="3" t="s">
        <v>214</v>
      </c>
      <c r="B197" s="1" t="s">
        <v>215</v>
      </c>
      <c r="C197" s="4">
        <f>8139040/1000</f>
        <v>8139.04</v>
      </c>
      <c r="D197" s="4">
        <f>6753058/1000</f>
        <v>6753.058</v>
      </c>
      <c r="E197" s="4">
        <f>13722121/1000</f>
        <v>13722.121</v>
      </c>
      <c r="F197" s="4">
        <f>948699/1000</f>
        <v>948.699</v>
      </c>
      <c r="G197" s="4">
        <f>3225931/1000</f>
        <v>3225.931</v>
      </c>
      <c r="H197" s="4">
        <f>514358/1000</f>
        <v>514.358</v>
      </c>
      <c r="I197" s="4">
        <f>395305/1000</f>
        <v>395.305</v>
      </c>
      <c r="J197" s="4">
        <f>482117/1000</f>
        <v>482.117</v>
      </c>
      <c r="K197" s="4">
        <f t="shared" si="27"/>
        <v>34180.62899999999</v>
      </c>
      <c r="L197" s="2"/>
    </row>
    <row r="198" spans="1:12" ht="12.75">
      <c r="A198" s="3">
        <v>231</v>
      </c>
      <c r="B198" s="1" t="s">
        <v>205</v>
      </c>
      <c r="C198" s="4">
        <f>7453661/1000</f>
        <v>7453.661</v>
      </c>
      <c r="D198" s="4">
        <f>6611877/1000</f>
        <v>6611.877</v>
      </c>
      <c r="E198" s="4">
        <f>11188511/1000</f>
        <v>11188.511</v>
      </c>
      <c r="F198" s="4">
        <f>1187337/1000</f>
        <v>1187.337</v>
      </c>
      <c r="G198" s="4">
        <f>2197082/1000</f>
        <v>2197.082</v>
      </c>
      <c r="H198" s="4">
        <f>403476/1000</f>
        <v>403.476</v>
      </c>
      <c r="I198" s="4">
        <f>853495/1000</f>
        <v>853.495</v>
      </c>
      <c r="J198" s="4">
        <f>310022/1000</f>
        <v>310.022</v>
      </c>
      <c r="K198" s="4">
        <f>SUM(C198:J198)</f>
        <v>30205.460999999996</v>
      </c>
      <c r="L198" s="2"/>
    </row>
    <row r="199" spans="1:12" ht="12.75">
      <c r="A199" s="6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2"/>
    </row>
    <row r="200" spans="1:12" ht="12.75">
      <c r="A200" s="6"/>
      <c r="B200" s="3" t="s">
        <v>216</v>
      </c>
      <c r="C200" s="4">
        <f>SUM(C202:C214)</f>
        <v>86306.583</v>
      </c>
      <c r="D200" s="4">
        <f>SUM(D202:D214)</f>
        <v>93367.83000000002</v>
      </c>
      <c r="E200" s="4">
        <f>SUM(E202:E214)</f>
        <v>170720.28699999998</v>
      </c>
      <c r="F200" s="4">
        <f aca="true" t="shared" si="28" ref="F200:K200">SUM(F202:F214)</f>
        <v>16794.428</v>
      </c>
      <c r="G200" s="4">
        <f t="shared" si="28"/>
        <v>48557.963</v>
      </c>
      <c r="H200" s="4">
        <f t="shared" si="28"/>
        <v>6186.115</v>
      </c>
      <c r="I200" s="4">
        <f t="shared" si="28"/>
        <v>17095.723</v>
      </c>
      <c r="J200" s="4">
        <f t="shared" si="28"/>
        <v>9725.367999999999</v>
      </c>
      <c r="K200" s="4">
        <f t="shared" si="28"/>
        <v>448754.29699999996</v>
      </c>
      <c r="L200" s="2"/>
    </row>
    <row r="201" spans="1:12" ht="12.75">
      <c r="A201" s="6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2"/>
    </row>
    <row r="202" spans="1:12" ht="12.75">
      <c r="A202" s="3" t="s">
        <v>217</v>
      </c>
      <c r="B202" s="1" t="s">
        <v>218</v>
      </c>
      <c r="C202" s="4">
        <f>13682603/1000</f>
        <v>13682.603</v>
      </c>
      <c r="D202" s="4">
        <f>18239925/1000</f>
        <v>18239.925</v>
      </c>
      <c r="E202" s="4">
        <f>28305263/1000</f>
        <v>28305.263</v>
      </c>
      <c r="F202" s="4">
        <f>2809461/1000</f>
        <v>2809.461</v>
      </c>
      <c r="G202" s="4">
        <f>8647922/1000</f>
        <v>8647.922</v>
      </c>
      <c r="H202" s="4">
        <f>2174798/1000</f>
        <v>2174.798</v>
      </c>
      <c r="I202" s="4">
        <f>6892268/1000</f>
        <v>6892.268</v>
      </c>
      <c r="J202" s="4">
        <f>1288553/1000</f>
        <v>1288.553</v>
      </c>
      <c r="K202" s="4">
        <f aca="true" t="shared" si="29" ref="K202:K214">SUM(C202:J202)</f>
        <v>82040.79299999999</v>
      </c>
      <c r="L202" s="2"/>
    </row>
    <row r="203" spans="1:12" ht="12.75">
      <c r="A203" s="3" t="s">
        <v>219</v>
      </c>
      <c r="B203" s="1" t="s">
        <v>220</v>
      </c>
      <c r="C203" s="4">
        <f>3912773/1000</f>
        <v>3912.773</v>
      </c>
      <c r="D203" s="4">
        <f>3698357/1000</f>
        <v>3698.357</v>
      </c>
      <c r="E203" s="4">
        <f>6832920/1000</f>
        <v>6832.92</v>
      </c>
      <c r="F203" s="4">
        <f>983241/1000</f>
        <v>983.241</v>
      </c>
      <c r="G203" s="4">
        <f>1937931/1000</f>
        <v>1937.931</v>
      </c>
      <c r="H203" s="4">
        <f>303251/1000</f>
        <v>303.251</v>
      </c>
      <c r="I203" s="4">
        <f>849527/1000</f>
        <v>849.527</v>
      </c>
      <c r="J203" s="4">
        <f>506625/1000</f>
        <v>506.625</v>
      </c>
      <c r="K203" s="4">
        <f t="shared" si="29"/>
        <v>19024.625</v>
      </c>
      <c r="L203" s="2"/>
    </row>
    <row r="204" spans="1:12" ht="12.75">
      <c r="A204" s="3" t="s">
        <v>221</v>
      </c>
      <c r="B204" s="1" t="s">
        <v>222</v>
      </c>
      <c r="C204" s="4">
        <f>7423122/1000</f>
        <v>7423.122</v>
      </c>
      <c r="D204" s="4">
        <f>8015775/1000</f>
        <v>8015.775</v>
      </c>
      <c r="E204" s="4">
        <f>11811010/1000</f>
        <v>11811.01</v>
      </c>
      <c r="F204" s="4">
        <f>1052495/1000</f>
        <v>1052.495</v>
      </c>
      <c r="G204" s="4">
        <f>2515376/1000</f>
        <v>2515.376</v>
      </c>
      <c r="H204" s="4">
        <f>291068/1000</f>
        <v>291.068</v>
      </c>
      <c r="I204" s="4">
        <f>882942/1000</f>
        <v>882.942</v>
      </c>
      <c r="J204" s="4">
        <f>625567/1000</f>
        <v>625.567</v>
      </c>
      <c r="K204" s="4">
        <f t="shared" si="29"/>
        <v>32617.354999999996</v>
      </c>
      <c r="L204" s="2"/>
    </row>
    <row r="205" spans="1:12" ht="12.75">
      <c r="A205" s="3" t="s">
        <v>223</v>
      </c>
      <c r="B205" s="1" t="s">
        <v>224</v>
      </c>
      <c r="C205" s="4">
        <f>5350010/1000</f>
        <v>5350.01</v>
      </c>
      <c r="D205" s="4">
        <f>5830232/1000</f>
        <v>5830.232</v>
      </c>
      <c r="E205" s="4">
        <f>10442738/1000</f>
        <v>10442.738</v>
      </c>
      <c r="F205" s="4">
        <f>1547310/1000</f>
        <v>1547.31</v>
      </c>
      <c r="G205" s="4">
        <f>3510433/1000</f>
        <v>3510.433</v>
      </c>
      <c r="H205" s="4">
        <f>368163/1000</f>
        <v>368.163</v>
      </c>
      <c r="I205" s="4">
        <f>417105/1000</f>
        <v>417.105</v>
      </c>
      <c r="J205" s="4">
        <f>307901/1000</f>
        <v>307.901</v>
      </c>
      <c r="K205" s="4">
        <f t="shared" si="29"/>
        <v>27773.892000000003</v>
      </c>
      <c r="L205" s="2"/>
    </row>
    <row r="206" spans="1:12" ht="12.75">
      <c r="A206" s="3" t="s">
        <v>225</v>
      </c>
      <c r="B206" s="1" t="s">
        <v>226</v>
      </c>
      <c r="C206" s="4">
        <f>4154343/1000</f>
        <v>4154.343</v>
      </c>
      <c r="D206" s="4">
        <f>3725097/1000</f>
        <v>3725.097</v>
      </c>
      <c r="E206" s="4">
        <f>6333827/1000</f>
        <v>6333.827</v>
      </c>
      <c r="F206" s="4">
        <f>808585/1000</f>
        <v>808.585</v>
      </c>
      <c r="G206" s="4">
        <f>1956385/1000</f>
        <v>1956.385</v>
      </c>
      <c r="H206" s="4">
        <f>391836/1000</f>
        <v>391.836</v>
      </c>
      <c r="I206" s="4">
        <f>1052941/1000</f>
        <v>1052.941</v>
      </c>
      <c r="J206" s="4">
        <f>177493/1000</f>
        <v>177.493</v>
      </c>
      <c r="K206" s="4">
        <f t="shared" si="29"/>
        <v>18600.506999999994</v>
      </c>
      <c r="L206" s="2"/>
    </row>
    <row r="207" spans="1:12" ht="12.75">
      <c r="A207" s="3" t="s">
        <v>227</v>
      </c>
      <c r="B207" s="1" t="s">
        <v>228</v>
      </c>
      <c r="C207" s="4">
        <f>2838188/1000</f>
        <v>2838.188</v>
      </c>
      <c r="D207" s="4">
        <f>3798530/1000</f>
        <v>3798.53</v>
      </c>
      <c r="E207" s="4">
        <f>6541485/1000</f>
        <v>6541.485</v>
      </c>
      <c r="F207" s="4">
        <f>765738/1000</f>
        <v>765.738</v>
      </c>
      <c r="G207" s="4">
        <f>1256430/1000</f>
        <v>1256.43</v>
      </c>
      <c r="H207" s="4">
        <f>102008/1000</f>
        <v>102.008</v>
      </c>
      <c r="I207" s="4">
        <f>57817/1000</f>
        <v>57.817</v>
      </c>
      <c r="J207" s="4">
        <f>981120/1000</f>
        <v>981.12</v>
      </c>
      <c r="K207" s="4">
        <f t="shared" si="29"/>
        <v>16341.316</v>
      </c>
      <c r="L207" s="2"/>
    </row>
    <row r="208" spans="1:12" ht="12.75">
      <c r="A208" s="3" t="s">
        <v>229</v>
      </c>
      <c r="B208" s="1" t="s">
        <v>230</v>
      </c>
      <c r="C208" s="4">
        <f>5895331/1000</f>
        <v>5895.331</v>
      </c>
      <c r="D208" s="4">
        <f>4380644/1000</f>
        <v>4380.644</v>
      </c>
      <c r="E208" s="4">
        <f>8725176/1000</f>
        <v>8725.176</v>
      </c>
      <c r="F208" s="4">
        <f>1275353/1000</f>
        <v>1275.353</v>
      </c>
      <c r="G208" s="4">
        <f>3296240/1000</f>
        <v>3296.24</v>
      </c>
      <c r="H208" s="4">
        <f>230989/1000</f>
        <v>230.989</v>
      </c>
      <c r="I208" s="4">
        <f>193056/1000</f>
        <v>193.056</v>
      </c>
      <c r="J208" s="4">
        <f>222988/1000</f>
        <v>222.988</v>
      </c>
      <c r="K208" s="4">
        <f t="shared" si="29"/>
        <v>24219.777000000002</v>
      </c>
      <c r="L208" s="2"/>
    </row>
    <row r="209" spans="1:12" ht="12.75">
      <c r="A209" s="3">
        <v>119</v>
      </c>
      <c r="B209" s="1" t="s">
        <v>231</v>
      </c>
      <c r="C209" s="4">
        <f>12616069/1000</f>
        <v>12616.069</v>
      </c>
      <c r="D209" s="4">
        <f>10502121/1000</f>
        <v>10502.121</v>
      </c>
      <c r="E209" s="4">
        <f>24926985/1000</f>
        <v>24926.985</v>
      </c>
      <c r="F209" s="4">
        <f>1880443/1000</f>
        <v>1880.443</v>
      </c>
      <c r="G209" s="4">
        <f>6862862/1000</f>
        <v>6862.862</v>
      </c>
      <c r="H209" s="4">
        <f>754611/1000</f>
        <v>754.611</v>
      </c>
      <c r="I209" s="4">
        <f>2047038/1000</f>
        <v>2047.038</v>
      </c>
      <c r="J209" s="4">
        <f>912349/1000</f>
        <v>912.349</v>
      </c>
      <c r="K209" s="4">
        <f t="shared" si="29"/>
        <v>60502.478</v>
      </c>
      <c r="L209" s="2"/>
    </row>
    <row r="210" spans="1:12" ht="12.75">
      <c r="A210" s="3">
        <v>148</v>
      </c>
      <c r="B210" s="1" t="s">
        <v>232</v>
      </c>
      <c r="C210" s="4">
        <f>3784082/1000</f>
        <v>3784.082</v>
      </c>
      <c r="D210" s="4">
        <f>3256514/1000</f>
        <v>3256.514</v>
      </c>
      <c r="E210" s="4">
        <f>6809701/1000</f>
        <v>6809.701</v>
      </c>
      <c r="F210" s="4">
        <f>716245/1000</f>
        <v>716.245</v>
      </c>
      <c r="G210" s="4">
        <f>1436850/1000</f>
        <v>1436.85</v>
      </c>
      <c r="H210" s="4">
        <f>162245/1000</f>
        <v>162.245</v>
      </c>
      <c r="I210" s="4">
        <f>203009/1000</f>
        <v>203.009</v>
      </c>
      <c r="J210" s="4">
        <f>653247/1000</f>
        <v>653.247</v>
      </c>
      <c r="K210" s="4">
        <f t="shared" si="29"/>
        <v>17021.893</v>
      </c>
      <c r="L210" s="2"/>
    </row>
    <row r="211" spans="1:12" ht="12.75">
      <c r="A211" s="3">
        <v>210</v>
      </c>
      <c r="B211" s="1" t="s">
        <v>233</v>
      </c>
      <c r="C211" s="4">
        <f>5991741/1000</f>
        <v>5991.741</v>
      </c>
      <c r="D211" s="4">
        <f>6387148/1000</f>
        <v>6387.148</v>
      </c>
      <c r="E211" s="4">
        <f>12109710/1000</f>
        <v>12109.71</v>
      </c>
      <c r="F211" s="4">
        <f>988357/1000</f>
        <v>988.357</v>
      </c>
      <c r="G211" s="4">
        <f>3776932/1000</f>
        <v>3776.932</v>
      </c>
      <c r="H211" s="4">
        <f>300094/1000</f>
        <v>300.094</v>
      </c>
      <c r="I211" s="4">
        <f>1112103/1000</f>
        <v>1112.103</v>
      </c>
      <c r="J211" s="4">
        <f>1424278/1000</f>
        <v>1424.278</v>
      </c>
      <c r="K211" s="4">
        <f t="shared" si="29"/>
        <v>32090.362999999998</v>
      </c>
      <c r="L211" s="2"/>
    </row>
    <row r="212" spans="1:12" ht="12.75">
      <c r="A212" s="3">
        <v>232</v>
      </c>
      <c r="B212" s="1" t="s">
        <v>218</v>
      </c>
      <c r="C212" s="4">
        <f>10922565/1000</f>
        <v>10922.565</v>
      </c>
      <c r="D212" s="4">
        <f>13860849/1000</f>
        <v>13860.849</v>
      </c>
      <c r="E212" s="4">
        <f>26411397/1000</f>
        <v>26411.397</v>
      </c>
      <c r="F212" s="4">
        <f>2340778/1000</f>
        <v>2340.778</v>
      </c>
      <c r="G212" s="4">
        <f>7908593/1000</f>
        <v>7908.593</v>
      </c>
      <c r="H212" s="4">
        <f>576513/1000</f>
        <v>576.513</v>
      </c>
      <c r="I212" s="4">
        <f>1536083/1000</f>
        <v>1536.083</v>
      </c>
      <c r="J212" s="4">
        <f>1037866/1000</f>
        <v>1037.866</v>
      </c>
      <c r="K212" s="4">
        <f t="shared" si="29"/>
        <v>64594.644</v>
      </c>
      <c r="L212" s="2"/>
    </row>
    <row r="213" spans="1:12" ht="12.75">
      <c r="A213" s="3">
        <v>284</v>
      </c>
      <c r="B213" s="1" t="s">
        <v>234</v>
      </c>
      <c r="C213" s="4">
        <f>4873178/1000</f>
        <v>4873.178</v>
      </c>
      <c r="D213" s="4">
        <f>6272337/1000</f>
        <v>6272.337</v>
      </c>
      <c r="E213" s="4">
        <f>9532585/1000</f>
        <v>9532.585</v>
      </c>
      <c r="F213" s="4">
        <f>732725/1000</f>
        <v>732.725</v>
      </c>
      <c r="G213" s="4">
        <f>2554046/1000</f>
        <v>2554.046</v>
      </c>
      <c r="H213" s="4">
        <f>326638/1000</f>
        <v>326.638</v>
      </c>
      <c r="I213" s="4">
        <f>804787/1000</f>
        <v>804.787</v>
      </c>
      <c r="J213" s="4">
        <f>940447/1000</f>
        <v>940.447</v>
      </c>
      <c r="K213" s="4">
        <f t="shared" si="29"/>
        <v>26036.742999999995</v>
      </c>
      <c r="L213" s="2"/>
    </row>
    <row r="214" spans="1:12" ht="12.75">
      <c r="A214" s="3">
        <v>285</v>
      </c>
      <c r="B214" s="1" t="s">
        <v>235</v>
      </c>
      <c r="C214" s="4">
        <f>4862578/1000</f>
        <v>4862.578</v>
      </c>
      <c r="D214" s="4">
        <f>5400301/1000</f>
        <v>5400.301</v>
      </c>
      <c r="E214" s="4">
        <f>11937490/1000</f>
        <v>11937.49</v>
      </c>
      <c r="F214" s="4">
        <f>893697/1000</f>
        <v>893.697</v>
      </c>
      <c r="G214" s="4">
        <f>2897963/1000</f>
        <v>2897.963</v>
      </c>
      <c r="H214" s="4">
        <f>203901/1000</f>
        <v>203.901</v>
      </c>
      <c r="I214" s="4">
        <f>1047047/1000</f>
        <v>1047.047</v>
      </c>
      <c r="J214" s="4">
        <f>646934/1000</f>
        <v>646.934</v>
      </c>
      <c r="K214" s="4">
        <f t="shared" si="29"/>
        <v>27889.911</v>
      </c>
      <c r="L214" s="2"/>
    </row>
    <row r="215" spans="1:12" ht="12.75">
      <c r="A215" s="6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2"/>
    </row>
    <row r="216" spans="1:12" ht="12.75">
      <c r="A216" s="6"/>
      <c r="B216" s="3" t="s">
        <v>236</v>
      </c>
      <c r="C216" s="4">
        <f>SUM(C218:C223)</f>
        <v>31136.546000000002</v>
      </c>
      <c r="D216" s="4">
        <f>SUM(D218:D223)</f>
        <v>25320.253999999997</v>
      </c>
      <c r="E216" s="4">
        <f>SUM(E218:E223)</f>
        <v>51233.31199999999</v>
      </c>
      <c r="F216" s="4">
        <f aca="true" t="shared" si="30" ref="F216:K216">SUM(F218:F223)</f>
        <v>6738.958999999999</v>
      </c>
      <c r="G216" s="4">
        <f t="shared" si="30"/>
        <v>15989.601999999999</v>
      </c>
      <c r="H216" s="4">
        <f t="shared" si="30"/>
        <v>2316.734</v>
      </c>
      <c r="I216" s="4">
        <f t="shared" si="30"/>
        <v>2289.2639999999997</v>
      </c>
      <c r="J216" s="4">
        <f t="shared" si="30"/>
        <v>6119.5</v>
      </c>
      <c r="K216" s="4">
        <f t="shared" si="30"/>
        <v>141144.171</v>
      </c>
      <c r="L216" s="2"/>
    </row>
    <row r="217" spans="1:12" ht="12.75">
      <c r="A217" s="6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2"/>
    </row>
    <row r="218" spans="1:12" ht="12.75">
      <c r="A218" s="3">
        <v>121</v>
      </c>
      <c r="B218" s="1" t="s">
        <v>237</v>
      </c>
      <c r="C218" s="4">
        <f>4583215/1000</f>
        <v>4583.215</v>
      </c>
      <c r="D218" s="4">
        <f>3688387/1000</f>
        <v>3688.387</v>
      </c>
      <c r="E218" s="4">
        <f>7901096/1000</f>
        <v>7901.096</v>
      </c>
      <c r="F218" s="4">
        <f>684552/1000</f>
        <v>684.552</v>
      </c>
      <c r="G218" s="4">
        <f>2650607/1000</f>
        <v>2650.607</v>
      </c>
      <c r="H218" s="4">
        <f>125330/1000</f>
        <v>125.33</v>
      </c>
      <c r="I218" s="4">
        <f>348169/1000</f>
        <v>348.169</v>
      </c>
      <c r="J218" s="4">
        <f>796997/1000</f>
        <v>796.997</v>
      </c>
      <c r="K218" s="4">
        <f>SUM(C218:J218)</f>
        <v>20778.353000000003</v>
      </c>
      <c r="L218" s="2"/>
    </row>
    <row r="219" spans="1:12" ht="12.75">
      <c r="A219" s="3">
        <v>139</v>
      </c>
      <c r="B219" s="1" t="s">
        <v>238</v>
      </c>
      <c r="C219" s="4">
        <f>5483158/1000</f>
        <v>5483.158</v>
      </c>
      <c r="D219" s="4">
        <f>5663962/1000</f>
        <v>5663.962</v>
      </c>
      <c r="E219" s="4">
        <f>13959008/1000</f>
        <v>13959.008</v>
      </c>
      <c r="F219" s="4">
        <f>1374187/1000</f>
        <v>1374.187</v>
      </c>
      <c r="G219" s="4">
        <f>5160141/1000</f>
        <v>5160.141</v>
      </c>
      <c r="H219" s="4">
        <f>491612/1000</f>
        <v>491.612</v>
      </c>
      <c r="I219" s="4">
        <f>539555/1000</f>
        <v>539.555</v>
      </c>
      <c r="J219" s="4">
        <f>1608310/1000</f>
        <v>1608.31</v>
      </c>
      <c r="K219" s="4">
        <f>SUM(C219:J219)</f>
        <v>34279.933000000005</v>
      </c>
      <c r="L219" s="2"/>
    </row>
    <row r="220" spans="1:12" ht="12.75">
      <c r="A220" s="3">
        <v>169</v>
      </c>
      <c r="B220" s="1" t="s">
        <v>239</v>
      </c>
      <c r="C220" s="4">
        <f>14631606/1000</f>
        <v>14631.606</v>
      </c>
      <c r="D220" s="4">
        <f>10441883/1000</f>
        <v>10441.883</v>
      </c>
      <c r="E220" s="4">
        <f>18731944/1000</f>
        <v>18731.944</v>
      </c>
      <c r="F220" s="4">
        <f>4011517/1000</f>
        <v>4011.517</v>
      </c>
      <c r="G220" s="4">
        <f>5902526/1000</f>
        <v>5902.526</v>
      </c>
      <c r="H220" s="4">
        <f>1453038/1000</f>
        <v>1453.038</v>
      </c>
      <c r="I220" s="4">
        <f>1166426/1000</f>
        <v>1166.426</v>
      </c>
      <c r="J220" s="4">
        <f>2214170/1000</f>
        <v>2214.17</v>
      </c>
      <c r="K220" s="4">
        <f>SUM(C220:J220)</f>
        <v>58553.11</v>
      </c>
      <c r="L220" s="2"/>
    </row>
    <row r="221" spans="1:12" ht="12.75">
      <c r="A221" s="3">
        <v>213</v>
      </c>
      <c r="B221" s="1" t="s">
        <v>240</v>
      </c>
      <c r="C221" s="4">
        <f>1767665/1000</f>
        <v>1767.665</v>
      </c>
      <c r="D221" s="4">
        <f>1664851/1000</f>
        <v>1664.851</v>
      </c>
      <c r="E221" s="4">
        <f>3517003/1000</f>
        <v>3517.003</v>
      </c>
      <c r="F221" s="4">
        <f>195846/1000</f>
        <v>195.846</v>
      </c>
      <c r="G221" s="4">
        <f>716671/1000</f>
        <v>716.671</v>
      </c>
      <c r="H221" s="4">
        <f>64487/1000</f>
        <v>64.487</v>
      </c>
      <c r="I221" s="4">
        <f>138051/1000</f>
        <v>138.051</v>
      </c>
      <c r="J221" s="4">
        <f>649012/1000</f>
        <v>649.012</v>
      </c>
      <c r="K221" s="4">
        <f>SUM(C221:J221)</f>
        <v>8713.586000000001</v>
      </c>
      <c r="L221" s="2"/>
    </row>
    <row r="222" spans="1:12" ht="12.75">
      <c r="A222" s="3">
        <v>233</v>
      </c>
      <c r="B222" s="1" t="s">
        <v>239</v>
      </c>
      <c r="C222" s="4">
        <f>4670902/1000</f>
        <v>4670.902</v>
      </c>
      <c r="D222" s="4">
        <f>3861171/1000</f>
        <v>3861.171</v>
      </c>
      <c r="E222" s="4">
        <f>7124261/1000</f>
        <v>7124.261</v>
      </c>
      <c r="F222" s="4">
        <f>472857/1000</f>
        <v>472.857</v>
      </c>
      <c r="G222" s="4">
        <f>1559657/1000</f>
        <v>1559.657</v>
      </c>
      <c r="H222" s="4">
        <f>182267/1000</f>
        <v>182.267</v>
      </c>
      <c r="I222" s="4">
        <f>97063/1000</f>
        <v>97.063</v>
      </c>
      <c r="J222" s="4">
        <f>851011/1000</f>
        <v>851.011</v>
      </c>
      <c r="K222" s="4">
        <f>SUM(C222:J222)</f>
        <v>18819.189</v>
      </c>
      <c r="L222" s="2"/>
    </row>
    <row r="223" spans="1:12" ht="12.75">
      <c r="A223" s="6"/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2"/>
    </row>
    <row r="224" spans="1:12" ht="12.75">
      <c r="A224" s="6"/>
      <c r="B224" s="3" t="s">
        <v>241</v>
      </c>
      <c r="C224" s="4">
        <f>SUM(C226:C230)</f>
        <v>17120.749</v>
      </c>
      <c r="D224" s="4">
        <f>SUM(D226:D230)</f>
        <v>17011.328</v>
      </c>
      <c r="E224" s="4">
        <f>SUM(E226:E230)</f>
        <v>34144.331999999995</v>
      </c>
      <c r="F224" s="4">
        <f aca="true" t="shared" si="31" ref="F224:K224">SUM(F226:F230)</f>
        <v>3334.0930000000003</v>
      </c>
      <c r="G224" s="4">
        <f t="shared" si="31"/>
        <v>8400.559</v>
      </c>
      <c r="H224" s="4">
        <f t="shared" si="31"/>
        <v>1057.295</v>
      </c>
      <c r="I224" s="4">
        <f t="shared" si="31"/>
        <v>6881.325000000001</v>
      </c>
      <c r="J224" s="4">
        <f t="shared" si="31"/>
        <v>827.1990000000001</v>
      </c>
      <c r="K224" s="4">
        <f t="shared" si="31"/>
        <v>88776.88</v>
      </c>
      <c r="L224" s="2"/>
    </row>
    <row r="225" spans="1:12" ht="12.75">
      <c r="A225" s="6"/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2"/>
    </row>
    <row r="226" spans="1:12" ht="12.75">
      <c r="A226" s="3" t="s">
        <v>242</v>
      </c>
      <c r="B226" s="1" t="s">
        <v>243</v>
      </c>
      <c r="C226" s="4">
        <f>8200979/1000</f>
        <v>8200.979</v>
      </c>
      <c r="D226" s="4">
        <f>8208423/1000</f>
        <v>8208.423</v>
      </c>
      <c r="E226" s="4">
        <f>15063616/1000</f>
        <v>15063.616</v>
      </c>
      <c r="F226" s="4">
        <f>1293477/1000</f>
        <v>1293.477</v>
      </c>
      <c r="G226" s="4">
        <f>3539305/1000</f>
        <v>3539.305</v>
      </c>
      <c r="H226" s="4">
        <f>289055/1000</f>
        <v>289.055</v>
      </c>
      <c r="I226" s="4">
        <f>711279/1000</f>
        <v>711.279</v>
      </c>
      <c r="J226" s="4">
        <f>125885/1000</f>
        <v>125.885</v>
      </c>
      <c r="K226" s="4">
        <f>SUM(C226:J226)</f>
        <v>37432.01900000001</v>
      </c>
      <c r="L226" s="2"/>
    </row>
    <row r="227" spans="1:12" ht="12.75">
      <c r="A227" s="3">
        <v>140</v>
      </c>
      <c r="B227" s="1" t="s">
        <v>244</v>
      </c>
      <c r="C227" s="4">
        <f>2293847/1000</f>
        <v>2293.847</v>
      </c>
      <c r="D227" s="4">
        <f>2220268/1000</f>
        <v>2220.268</v>
      </c>
      <c r="E227" s="4">
        <f>5216162/1000</f>
        <v>5216.162</v>
      </c>
      <c r="F227" s="4">
        <f>506578/1000</f>
        <v>506.578</v>
      </c>
      <c r="G227" s="4">
        <f>1512992/1000</f>
        <v>1512.992</v>
      </c>
      <c r="H227" s="4">
        <f>279257/1000</f>
        <v>279.257</v>
      </c>
      <c r="I227" s="4">
        <f>681338/1000</f>
        <v>681.338</v>
      </c>
      <c r="J227" s="4">
        <f>193768/1000</f>
        <v>193.768</v>
      </c>
      <c r="K227" s="4">
        <f>SUM(C227:J227)</f>
        <v>12904.21</v>
      </c>
      <c r="L227" s="2"/>
    </row>
    <row r="228" spans="1:12" ht="12.75">
      <c r="A228" s="3">
        <v>200</v>
      </c>
      <c r="B228" s="1" t="s">
        <v>245</v>
      </c>
      <c r="C228" s="4">
        <f>2099125/1000</f>
        <v>2099.125</v>
      </c>
      <c r="D228" s="4">
        <f>2266292/1000</f>
        <v>2266.292</v>
      </c>
      <c r="E228" s="4">
        <f>4666233/1000</f>
        <v>4666.233</v>
      </c>
      <c r="F228" s="4">
        <f>369064/1000</f>
        <v>369.064</v>
      </c>
      <c r="G228" s="4">
        <f>1071877/1000</f>
        <v>1071.877</v>
      </c>
      <c r="H228" s="4">
        <f>195212/1000</f>
        <v>195.212</v>
      </c>
      <c r="I228" s="4">
        <f>3054061/1000</f>
        <v>3054.061</v>
      </c>
      <c r="J228" s="4">
        <f>139173/1000</f>
        <v>139.173</v>
      </c>
      <c r="K228" s="4">
        <f>SUM(C228:J228)</f>
        <v>13861.037</v>
      </c>
      <c r="L228" s="2"/>
    </row>
    <row r="229" spans="1:12" ht="12.75">
      <c r="A229" s="3">
        <v>212</v>
      </c>
      <c r="B229" s="1" t="s">
        <v>246</v>
      </c>
      <c r="C229" s="4">
        <f>1417294/1000</f>
        <v>1417.294</v>
      </c>
      <c r="D229" s="4">
        <f>1398100/1000</f>
        <v>1398.1</v>
      </c>
      <c r="E229" s="4">
        <f>3055137/1000</f>
        <v>3055.137</v>
      </c>
      <c r="F229" s="4">
        <f>230074/1000</f>
        <v>230.074</v>
      </c>
      <c r="G229" s="4">
        <f>642225/1000</f>
        <v>642.225</v>
      </c>
      <c r="H229" s="4">
        <f>148929/1000</f>
        <v>148.929</v>
      </c>
      <c r="I229" s="4">
        <f>2213074/1000</f>
        <v>2213.074</v>
      </c>
      <c r="J229" s="4">
        <f>45503/1000</f>
        <v>45.503</v>
      </c>
      <c r="K229" s="4">
        <f>SUM(C229:J229)</f>
        <v>9150.336000000001</v>
      </c>
      <c r="L229" s="2"/>
    </row>
    <row r="230" spans="1:12" ht="12.75">
      <c r="A230" s="3">
        <v>234</v>
      </c>
      <c r="B230" s="1" t="s">
        <v>243</v>
      </c>
      <c r="C230" s="4">
        <f>3109504/1000</f>
        <v>3109.504</v>
      </c>
      <c r="D230" s="4">
        <f>2918245/1000</f>
        <v>2918.245</v>
      </c>
      <c r="E230" s="4">
        <f>6143184/1000</f>
        <v>6143.184</v>
      </c>
      <c r="F230" s="4">
        <f>934900/1000</f>
        <v>934.9</v>
      </c>
      <c r="G230" s="4">
        <f>1634160/1000</f>
        <v>1634.16</v>
      </c>
      <c r="H230" s="4">
        <f>144842/1000</f>
        <v>144.842</v>
      </c>
      <c r="I230" s="4">
        <f>221573/1000</f>
        <v>221.573</v>
      </c>
      <c r="J230" s="4">
        <f>322870/1000</f>
        <v>322.87</v>
      </c>
      <c r="K230" s="4">
        <f>SUM(C230:J230)</f>
        <v>15429.278000000002</v>
      </c>
      <c r="L230" s="2"/>
    </row>
    <row r="231" spans="1:12" ht="12.75">
      <c r="A231" s="6"/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2"/>
    </row>
    <row r="232" spans="1:12" ht="12.75">
      <c r="A232" s="6"/>
      <c r="B232" s="3" t="s">
        <v>247</v>
      </c>
      <c r="C232" s="4">
        <f>SUM(C234:C240)</f>
        <v>48503.92199999999</v>
      </c>
      <c r="D232" s="4">
        <f>SUM(D234:D240)</f>
        <v>54838.093</v>
      </c>
      <c r="E232" s="4">
        <f>SUM(E234:E240)</f>
        <v>107835.95599999998</v>
      </c>
      <c r="F232" s="4">
        <f aca="true" t="shared" si="32" ref="F232:K232">SUM(F234:F240)</f>
        <v>11926.087</v>
      </c>
      <c r="G232" s="4">
        <f t="shared" si="32"/>
        <v>21272.388</v>
      </c>
      <c r="H232" s="4">
        <f t="shared" si="32"/>
        <v>5813.6089999999995</v>
      </c>
      <c r="I232" s="4">
        <f t="shared" si="32"/>
        <v>45725.272</v>
      </c>
      <c r="J232" s="4">
        <f t="shared" si="32"/>
        <v>5514.834000000001</v>
      </c>
      <c r="K232" s="4">
        <f t="shared" si="32"/>
        <v>301430.161</v>
      </c>
      <c r="L232" s="2"/>
    </row>
    <row r="233" spans="1:12" ht="12.75">
      <c r="A233" s="6"/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2"/>
    </row>
    <row r="234" spans="1:12" ht="12.75">
      <c r="A234" s="3" t="s">
        <v>248</v>
      </c>
      <c r="B234" s="1" t="s">
        <v>249</v>
      </c>
      <c r="C234" s="4">
        <f>11234656/1000</f>
        <v>11234.656</v>
      </c>
      <c r="D234" s="4">
        <f>10768059/1000</f>
        <v>10768.059</v>
      </c>
      <c r="E234" s="4">
        <f>25141718/1000</f>
        <v>25141.718</v>
      </c>
      <c r="F234" s="4">
        <f>2706823/1000</f>
        <v>2706.823</v>
      </c>
      <c r="G234" s="4">
        <f>5432482/1000</f>
        <v>5432.482</v>
      </c>
      <c r="H234" s="4">
        <f>1463685/1000</f>
        <v>1463.685</v>
      </c>
      <c r="I234" s="4">
        <f>12766502/1000</f>
        <v>12766.502</v>
      </c>
      <c r="J234" s="4">
        <f>1264115/1000</f>
        <v>1264.115</v>
      </c>
      <c r="K234" s="4">
        <f aca="true" t="shared" si="33" ref="K234:K240">SUM(C234:J234)</f>
        <v>70778.04</v>
      </c>
      <c r="L234" s="2"/>
    </row>
    <row r="235" spans="1:12" ht="12.75">
      <c r="A235" s="3">
        <v>123</v>
      </c>
      <c r="B235" s="1" t="s">
        <v>250</v>
      </c>
      <c r="C235" s="4">
        <f>5531537/1000</f>
        <v>5531.537</v>
      </c>
      <c r="D235" s="4">
        <f>5755024/1000</f>
        <v>5755.024</v>
      </c>
      <c r="E235" s="4">
        <f>11971164/1000</f>
        <v>11971.164</v>
      </c>
      <c r="F235" s="4">
        <f>1592030/1000</f>
        <v>1592.03</v>
      </c>
      <c r="G235" s="4">
        <f>2266442/1000</f>
        <v>2266.442</v>
      </c>
      <c r="H235" s="4">
        <f>458416/1000</f>
        <v>458.416</v>
      </c>
      <c r="I235" s="4">
        <f>5061129/1000</f>
        <v>5061.129</v>
      </c>
      <c r="J235" s="4">
        <f>851925/1000</f>
        <v>851.925</v>
      </c>
      <c r="K235" s="4">
        <f t="shared" si="33"/>
        <v>33487.667</v>
      </c>
      <c r="L235" s="2"/>
    </row>
    <row r="236" spans="1:12" ht="12.75">
      <c r="A236" s="3">
        <v>170</v>
      </c>
      <c r="B236" s="1" t="s">
        <v>249</v>
      </c>
      <c r="C236" s="4">
        <f>9514763/1000</f>
        <v>9514.763</v>
      </c>
      <c r="D236" s="4">
        <f>15439513/1000</f>
        <v>15439.513</v>
      </c>
      <c r="E236" s="4">
        <f>25995514/1000</f>
        <v>25995.514</v>
      </c>
      <c r="F236" s="4">
        <f>3517295/1000</f>
        <v>3517.295</v>
      </c>
      <c r="G236" s="4">
        <f>6023343/1000</f>
        <v>6023.343</v>
      </c>
      <c r="H236" s="4">
        <f>1289457/1000</f>
        <v>1289.457</v>
      </c>
      <c r="I236" s="4">
        <f>1342586/1000</f>
        <v>1342.586</v>
      </c>
      <c r="J236" s="4">
        <f>1428556/1000</f>
        <v>1428.556</v>
      </c>
      <c r="K236" s="4">
        <f t="shared" si="33"/>
        <v>64551.027</v>
      </c>
      <c r="L236" s="2"/>
    </row>
    <row r="237" spans="1:12" ht="12.75">
      <c r="A237" s="3">
        <v>181</v>
      </c>
      <c r="B237" s="1" t="s">
        <v>251</v>
      </c>
      <c r="C237" s="4">
        <f>4653337/1000</f>
        <v>4653.337</v>
      </c>
      <c r="D237" s="4">
        <f>7117841/1000</f>
        <v>7117.841</v>
      </c>
      <c r="E237" s="4">
        <f>12817666/1000</f>
        <v>12817.666</v>
      </c>
      <c r="F237" s="4">
        <f>1017572/1000</f>
        <v>1017.572</v>
      </c>
      <c r="G237" s="4">
        <f>2914799/1000</f>
        <v>2914.799</v>
      </c>
      <c r="H237" s="4">
        <f>495921/1000</f>
        <v>495.921</v>
      </c>
      <c r="I237" s="4">
        <f>4739942/1000</f>
        <v>4739.942</v>
      </c>
      <c r="J237" s="4">
        <f>827558/1000</f>
        <v>827.558</v>
      </c>
      <c r="K237" s="4">
        <f t="shared" si="33"/>
        <v>34584.63599999999</v>
      </c>
      <c r="L237" s="2"/>
    </row>
    <row r="238" spans="1:12" ht="12.75">
      <c r="A238" s="3">
        <v>235</v>
      </c>
      <c r="B238" s="1" t="s">
        <v>252</v>
      </c>
      <c r="C238" s="4">
        <f>5189977/1000</f>
        <v>5189.977</v>
      </c>
      <c r="D238" s="4">
        <f>3664116/1000</f>
        <v>3664.116</v>
      </c>
      <c r="E238" s="4">
        <f>6980290/1000</f>
        <v>6980.29</v>
      </c>
      <c r="F238" s="4">
        <f>851080/1000</f>
        <v>851.08</v>
      </c>
      <c r="G238" s="4">
        <f>1205160/1000</f>
        <v>1205.16</v>
      </c>
      <c r="H238" s="4">
        <f>247133/1000</f>
        <v>247.133</v>
      </c>
      <c r="I238" s="4">
        <f>1714099/1000</f>
        <v>1714.099</v>
      </c>
      <c r="J238" s="4">
        <f>61117/1000</f>
        <v>61.117</v>
      </c>
      <c r="K238" s="4">
        <f t="shared" si="33"/>
        <v>19912.972</v>
      </c>
      <c r="L238" s="2"/>
    </row>
    <row r="239" spans="1:12" ht="12.75">
      <c r="A239" s="3">
        <v>236</v>
      </c>
      <c r="B239" s="1" t="s">
        <v>253</v>
      </c>
      <c r="C239" s="4">
        <f>6591653/1000</f>
        <v>6591.653</v>
      </c>
      <c r="D239" s="4">
        <f>6024016/1000</f>
        <v>6024.016</v>
      </c>
      <c r="E239" s="4">
        <f>13683068/1000</f>
        <v>13683.068</v>
      </c>
      <c r="F239" s="4">
        <f>1374757/1000</f>
        <v>1374.757</v>
      </c>
      <c r="G239" s="4">
        <f>1705131/1000</f>
        <v>1705.131</v>
      </c>
      <c r="H239" s="4">
        <f>1164043/1000</f>
        <v>1164.043</v>
      </c>
      <c r="I239" s="4">
        <f>14585187/1000</f>
        <v>14585.187</v>
      </c>
      <c r="J239" s="4">
        <f>631333/1000</f>
        <v>631.333</v>
      </c>
      <c r="K239" s="4">
        <f t="shared" si="33"/>
        <v>45759.188</v>
      </c>
      <c r="L239" s="2"/>
    </row>
    <row r="240" spans="1:12" ht="12.75">
      <c r="A240" s="3">
        <v>254</v>
      </c>
      <c r="B240" s="1" t="s">
        <v>254</v>
      </c>
      <c r="C240" s="4">
        <f>5787999/1000</f>
        <v>5787.999</v>
      </c>
      <c r="D240" s="4">
        <f>6069524/1000</f>
        <v>6069.524</v>
      </c>
      <c r="E240" s="4">
        <f>11246536/1000</f>
        <v>11246.536</v>
      </c>
      <c r="F240" s="4">
        <f>866530/1000</f>
        <v>866.53</v>
      </c>
      <c r="G240" s="4">
        <f>1725031/1000</f>
        <v>1725.031</v>
      </c>
      <c r="H240" s="4">
        <f>694954/1000</f>
        <v>694.954</v>
      </c>
      <c r="I240" s="4">
        <f>5515827/1000</f>
        <v>5515.827</v>
      </c>
      <c r="J240" s="4">
        <f>450230/1000</f>
        <v>450.23</v>
      </c>
      <c r="K240" s="4">
        <f t="shared" si="33"/>
        <v>32356.631</v>
      </c>
      <c r="L240" s="2"/>
    </row>
    <row r="241" spans="1:12" ht="12.75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3" t="s">
        <v>255</v>
      </c>
      <c r="C242" s="4">
        <f>SUM(C244:C254)</f>
        <v>52787.438</v>
      </c>
      <c r="D242" s="4">
        <f>SUM(D244:D254)</f>
        <v>36200.055</v>
      </c>
      <c r="E242" s="4">
        <f>SUM(E244:E254)</f>
        <v>84985.01199999999</v>
      </c>
      <c r="F242" s="4">
        <f aca="true" t="shared" si="34" ref="F242:K242">SUM(F244:F254)</f>
        <v>16452.679</v>
      </c>
      <c r="G242" s="4">
        <f t="shared" si="34"/>
        <v>26233.287</v>
      </c>
      <c r="H242" s="4">
        <f t="shared" si="34"/>
        <v>3189.051</v>
      </c>
      <c r="I242" s="4">
        <f t="shared" si="34"/>
        <v>23740.088000000003</v>
      </c>
      <c r="J242" s="4">
        <f t="shared" si="34"/>
        <v>12466.736</v>
      </c>
      <c r="K242" s="4">
        <f t="shared" si="34"/>
        <v>256054.346</v>
      </c>
      <c r="L242" s="4"/>
    </row>
    <row r="243" spans="1:12" ht="12.75">
      <c r="A243" s="6"/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2"/>
    </row>
    <row r="244" spans="1:12" ht="12.75">
      <c r="A244" s="3" t="s">
        <v>256</v>
      </c>
      <c r="B244" s="1" t="s">
        <v>257</v>
      </c>
      <c r="C244" s="4">
        <f>5789491/1000</f>
        <v>5789.491</v>
      </c>
      <c r="D244" s="4">
        <f>4375745/1000</f>
        <v>4375.745</v>
      </c>
      <c r="E244" s="4">
        <f>10515315/1000</f>
        <v>10515.315</v>
      </c>
      <c r="F244" s="4">
        <f>2611386/1000</f>
        <v>2611.386</v>
      </c>
      <c r="G244" s="4">
        <f>3937498/1000</f>
        <v>3937.498</v>
      </c>
      <c r="H244" s="4">
        <f>460044/1000</f>
        <v>460.044</v>
      </c>
      <c r="I244" s="4">
        <f>476596/1000</f>
        <v>476.596</v>
      </c>
      <c r="J244" s="4">
        <f>1017385/1000</f>
        <v>1017.385</v>
      </c>
      <c r="K244" s="4">
        <f aca="true" t="shared" si="35" ref="K244:K254">SUM(C244:J244)</f>
        <v>29183.46</v>
      </c>
      <c r="L244" s="2"/>
    </row>
    <row r="245" spans="1:12" ht="12.75">
      <c r="A245" s="3">
        <v>128</v>
      </c>
      <c r="B245" s="1" t="s">
        <v>258</v>
      </c>
      <c r="C245" s="4">
        <f>8034352/1000</f>
        <v>8034.352</v>
      </c>
      <c r="D245" s="4">
        <f>5168423/1000</f>
        <v>5168.423</v>
      </c>
      <c r="E245" s="4">
        <f>13147639/1000</f>
        <v>13147.639</v>
      </c>
      <c r="F245" s="4">
        <f>1966749/1000</f>
        <v>1966.749</v>
      </c>
      <c r="G245" s="4">
        <f>3939245/1000</f>
        <v>3939.245</v>
      </c>
      <c r="H245" s="4">
        <v>613</v>
      </c>
      <c r="I245" s="4">
        <f>11626599/1000</f>
        <v>11626.599</v>
      </c>
      <c r="J245" s="4">
        <f>1806940/1000</f>
        <v>1806.94</v>
      </c>
      <c r="K245" s="4">
        <f t="shared" si="35"/>
        <v>46302.947</v>
      </c>
      <c r="L245" s="2"/>
    </row>
    <row r="246" spans="1:12" ht="12.75">
      <c r="A246" s="3">
        <v>133</v>
      </c>
      <c r="B246" s="1" t="s">
        <v>259</v>
      </c>
      <c r="C246" s="4">
        <f>5653057/1000</f>
        <v>5653.057</v>
      </c>
      <c r="D246" s="4">
        <f>3920073/1000</f>
        <v>3920.073</v>
      </c>
      <c r="E246" s="4">
        <f>8689772/1000</f>
        <v>8689.772</v>
      </c>
      <c r="F246" s="4">
        <f>1347824/1000</f>
        <v>1347.824</v>
      </c>
      <c r="G246" s="4">
        <f>3016789/1000</f>
        <v>3016.789</v>
      </c>
      <c r="H246" s="4">
        <v>382</v>
      </c>
      <c r="I246" s="4">
        <f>1062038/1000</f>
        <v>1062.038</v>
      </c>
      <c r="J246" s="4">
        <v>2129</v>
      </c>
      <c r="K246" s="4">
        <f t="shared" si="35"/>
        <v>26200.553000000004</v>
      </c>
      <c r="L246" s="2"/>
    </row>
    <row r="247" spans="1:12" ht="12.75">
      <c r="A247" s="3">
        <v>142</v>
      </c>
      <c r="B247" s="1" t="s">
        <v>260</v>
      </c>
      <c r="C247" s="4">
        <f>3918003/1000</f>
        <v>3918.003</v>
      </c>
      <c r="D247" s="4">
        <f>2933974/1000</f>
        <v>2933.974</v>
      </c>
      <c r="E247" s="4">
        <f>7674089/1000</f>
        <v>7674.089</v>
      </c>
      <c r="F247" s="4">
        <f>1773153/1000</f>
        <v>1773.153</v>
      </c>
      <c r="G247" s="4">
        <f>2215943/1000</f>
        <v>2215.943</v>
      </c>
      <c r="H247" s="4">
        <v>271</v>
      </c>
      <c r="I247" s="4">
        <f>1762418/1000</f>
        <v>1762.418</v>
      </c>
      <c r="J247" s="4">
        <v>512</v>
      </c>
      <c r="K247" s="4">
        <f t="shared" si="35"/>
        <v>21060.58</v>
      </c>
      <c r="L247" s="2"/>
    </row>
    <row r="248" spans="1:12" ht="12.75">
      <c r="A248" s="3">
        <v>161</v>
      </c>
      <c r="B248" s="1" t="s">
        <v>261</v>
      </c>
      <c r="C248" s="4">
        <f>3743624/1000</f>
        <v>3743.624</v>
      </c>
      <c r="D248" s="4">
        <f>2651690/1000</f>
        <v>2651.69</v>
      </c>
      <c r="E248" s="4">
        <f>6459376/1000</f>
        <v>6459.376</v>
      </c>
      <c r="F248" s="4">
        <f>1059032/1000</f>
        <v>1059.032</v>
      </c>
      <c r="G248" s="4">
        <f>1844383/1000</f>
        <v>1844.383</v>
      </c>
      <c r="H248" s="4">
        <v>173</v>
      </c>
      <c r="I248" s="4">
        <f>282325/1000</f>
        <v>282.325</v>
      </c>
      <c r="J248" s="4">
        <v>840</v>
      </c>
      <c r="K248" s="4">
        <f t="shared" si="35"/>
        <v>17053.43</v>
      </c>
      <c r="L248" s="2"/>
    </row>
    <row r="249" spans="1:12" ht="12.75">
      <c r="A249" s="3">
        <v>163</v>
      </c>
      <c r="B249" s="1" t="s">
        <v>262</v>
      </c>
      <c r="C249" s="4">
        <f>3580509/1000</f>
        <v>3580.509</v>
      </c>
      <c r="D249" s="4">
        <f>1737437/1000</f>
        <v>1737.437</v>
      </c>
      <c r="E249" s="4">
        <f>6095274/1000</f>
        <v>6095.274</v>
      </c>
      <c r="F249" s="4">
        <f>650858/1000</f>
        <v>650.858</v>
      </c>
      <c r="G249" s="4">
        <f>1201026/1000</f>
        <v>1201.026</v>
      </c>
      <c r="H249" s="4">
        <v>228</v>
      </c>
      <c r="I249" s="4">
        <f>424228/1000</f>
        <v>424.228</v>
      </c>
      <c r="J249" s="4">
        <v>430</v>
      </c>
      <c r="K249" s="4">
        <f t="shared" si="35"/>
        <v>14347.332</v>
      </c>
      <c r="L249" s="2"/>
    </row>
    <row r="250" spans="1:12" ht="12.75">
      <c r="A250" s="3">
        <v>177</v>
      </c>
      <c r="B250" s="1" t="s">
        <v>263</v>
      </c>
      <c r="C250" s="4">
        <f>4228430/1000</f>
        <v>4228.43</v>
      </c>
      <c r="D250" s="4">
        <f>3482602/1000</f>
        <v>3482.602</v>
      </c>
      <c r="E250" s="4">
        <f>5747886/1000</f>
        <v>5747.886</v>
      </c>
      <c r="F250" s="4">
        <f>1333492/1000</f>
        <v>1333.492</v>
      </c>
      <c r="G250" s="4">
        <f>1752807/1000</f>
        <v>1752.807</v>
      </c>
      <c r="H250" s="4">
        <v>155</v>
      </c>
      <c r="I250" s="4">
        <f>1257675/1000</f>
        <v>1257.675</v>
      </c>
      <c r="J250" s="4">
        <v>763</v>
      </c>
      <c r="K250" s="4">
        <f t="shared" si="35"/>
        <v>18720.892</v>
      </c>
      <c r="L250" s="2"/>
    </row>
    <row r="251" spans="1:12" ht="12.75">
      <c r="A251" s="3">
        <v>237</v>
      </c>
      <c r="B251" s="1" t="s">
        <v>257</v>
      </c>
      <c r="C251" s="4">
        <f>5710353/1000</f>
        <v>5710.353</v>
      </c>
      <c r="D251" s="4">
        <f>4116099/1000</f>
        <v>4116.099</v>
      </c>
      <c r="E251" s="4">
        <f>9871361/1000</f>
        <v>9871.361</v>
      </c>
      <c r="F251" s="4">
        <f>3237968/1000</f>
        <v>3237.968</v>
      </c>
      <c r="G251" s="4">
        <f>2950657/1000</f>
        <v>2950.657</v>
      </c>
      <c r="H251" s="4">
        <v>396</v>
      </c>
      <c r="I251" s="4">
        <f>361415/1000</f>
        <v>361.415</v>
      </c>
      <c r="J251" s="4">
        <v>836</v>
      </c>
      <c r="K251" s="4">
        <f t="shared" si="35"/>
        <v>27479.853000000003</v>
      </c>
      <c r="L251" s="2"/>
    </row>
    <row r="252" spans="1:12" ht="12.75">
      <c r="A252" s="3">
        <v>293</v>
      </c>
      <c r="B252" s="1" t="s">
        <v>264</v>
      </c>
      <c r="C252" s="4">
        <f>4423250/1000</f>
        <v>4423.25</v>
      </c>
      <c r="D252" s="4">
        <f>2063066/1000</f>
        <v>2063.066</v>
      </c>
      <c r="E252" s="4">
        <f>4577415/1000</f>
        <v>4577.415</v>
      </c>
      <c r="F252" s="4">
        <f>794539/1000</f>
        <v>794.539</v>
      </c>
      <c r="G252" s="4">
        <f>1482357/1000</f>
        <v>1482.357</v>
      </c>
      <c r="H252" s="4">
        <v>165</v>
      </c>
      <c r="I252" s="4">
        <f>638485/1000</f>
        <v>638.485</v>
      </c>
      <c r="J252" s="4">
        <f>1349785/1000</f>
        <v>1349.785</v>
      </c>
      <c r="K252" s="4">
        <f t="shared" si="35"/>
        <v>15493.897</v>
      </c>
      <c r="L252" s="4"/>
    </row>
    <row r="253" spans="1:12" ht="12.75">
      <c r="A253" s="3">
        <v>294</v>
      </c>
      <c r="B253" s="1" t="s">
        <v>265</v>
      </c>
      <c r="C253" s="4">
        <f>4789147/1000</f>
        <v>4789.147</v>
      </c>
      <c r="D253" s="4">
        <f>4153241/1000</f>
        <v>4153.241</v>
      </c>
      <c r="E253" s="4">
        <f>8668772/1000</f>
        <v>8668.772</v>
      </c>
      <c r="F253" s="4">
        <f>1131904/1000</f>
        <v>1131.904</v>
      </c>
      <c r="G253" s="4">
        <f>2820886/1000</f>
        <v>2820.886</v>
      </c>
      <c r="H253" s="4">
        <f>251007/1000</f>
        <v>251.007</v>
      </c>
      <c r="I253" s="4">
        <f>5483309/1000</f>
        <v>5483.309</v>
      </c>
      <c r="J253" s="4">
        <f>1455462/1000</f>
        <v>1455.462</v>
      </c>
      <c r="K253" s="4">
        <f t="shared" si="35"/>
        <v>28753.728</v>
      </c>
      <c r="L253" s="4"/>
    </row>
    <row r="254" spans="1:12" ht="12.75">
      <c r="A254" s="3">
        <v>295</v>
      </c>
      <c r="B254" s="1" t="s">
        <v>266</v>
      </c>
      <c r="C254" s="4">
        <f>2917222/1000</f>
        <v>2917.222</v>
      </c>
      <c r="D254" s="4">
        <f>1597705/1000</f>
        <v>1597.705</v>
      </c>
      <c r="E254" s="4">
        <f>3538113/1000</f>
        <v>3538.113</v>
      </c>
      <c r="F254" s="4">
        <f>545774/1000</f>
        <v>545.774</v>
      </c>
      <c r="G254" s="4">
        <f>1071696/1000</f>
        <v>1071.696</v>
      </c>
      <c r="H254" s="4">
        <v>95</v>
      </c>
      <c r="I254" s="4">
        <v>365</v>
      </c>
      <c r="J254" s="4">
        <f>1327164/1000</f>
        <v>1327.164</v>
      </c>
      <c r="K254" s="4">
        <f t="shared" si="35"/>
        <v>11457.673999999999</v>
      </c>
      <c r="L254" s="4"/>
    </row>
    <row r="255" spans="1:12" ht="12.75">
      <c r="A255" s="6"/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2"/>
    </row>
    <row r="256" spans="1:12" ht="12.75">
      <c r="A256" s="6"/>
      <c r="B256" s="3" t="s">
        <v>267</v>
      </c>
      <c r="C256" s="4">
        <f>SUM(C258:C267)</f>
        <v>26979.935999999998</v>
      </c>
      <c r="D256" s="4">
        <f>SUM(D258:D267)</f>
        <v>32317.959</v>
      </c>
      <c r="E256" s="4">
        <f>SUM(E258:E267)</f>
        <v>61627.274</v>
      </c>
      <c r="F256" s="4">
        <f aca="true" t="shared" si="36" ref="F256:K256">SUM(F258:F267)</f>
        <v>10214.55</v>
      </c>
      <c r="G256" s="4">
        <f t="shared" si="36"/>
        <v>15499.230000000001</v>
      </c>
      <c r="H256" s="4">
        <f t="shared" si="36"/>
        <v>3603</v>
      </c>
      <c r="I256" s="4">
        <f t="shared" si="36"/>
        <v>16239.670000000002</v>
      </c>
      <c r="J256" s="4">
        <f t="shared" si="36"/>
        <v>4038</v>
      </c>
      <c r="K256" s="4">
        <f t="shared" si="36"/>
        <v>170519.61899999998</v>
      </c>
      <c r="L256" s="2"/>
    </row>
    <row r="257" spans="1:12" ht="12.75">
      <c r="A257" s="6"/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2"/>
    </row>
    <row r="258" spans="1:12" ht="12.75">
      <c r="A258" s="3" t="s">
        <v>268</v>
      </c>
      <c r="B258" s="1" t="s">
        <v>269</v>
      </c>
      <c r="C258" s="4">
        <f>2778664/1000</f>
        <v>2778.664</v>
      </c>
      <c r="D258" s="4">
        <f>3458608/1000</f>
        <v>3458.608</v>
      </c>
      <c r="E258" s="4">
        <f>7170222/1000</f>
        <v>7170.222</v>
      </c>
      <c r="F258" s="4">
        <f>1489867/1000</f>
        <v>1489.867</v>
      </c>
      <c r="G258" s="4">
        <f>1406211/1000</f>
        <v>1406.211</v>
      </c>
      <c r="H258" s="4">
        <v>277</v>
      </c>
      <c r="I258" s="4">
        <f>1085061/1000</f>
        <v>1085.061</v>
      </c>
      <c r="J258" s="4">
        <v>463</v>
      </c>
      <c r="K258" s="4">
        <f aca="true" t="shared" si="37" ref="K258:K267">SUM(C258:J258)</f>
        <v>18128.633</v>
      </c>
      <c r="L258" s="2"/>
    </row>
    <row r="259" spans="1:12" ht="12.75">
      <c r="A259" s="3" t="s">
        <v>270</v>
      </c>
      <c r="B259" s="1" t="s">
        <v>271</v>
      </c>
      <c r="C259" s="4">
        <f>2798254/1000</f>
        <v>2798.254</v>
      </c>
      <c r="D259" s="4">
        <f>3286942/1000</f>
        <v>3286.942</v>
      </c>
      <c r="E259" s="4">
        <f>6394128/1000</f>
        <v>6394.128</v>
      </c>
      <c r="F259" s="4">
        <f>2090430/1000</f>
        <v>2090.43</v>
      </c>
      <c r="G259" s="4">
        <f>1251248/1000</f>
        <v>1251.248</v>
      </c>
      <c r="H259" s="4">
        <v>376</v>
      </c>
      <c r="I259" s="4">
        <f>1780663/1000</f>
        <v>1780.663</v>
      </c>
      <c r="J259" s="4">
        <v>426</v>
      </c>
      <c r="K259" s="4">
        <f t="shared" si="37"/>
        <v>18403.665</v>
      </c>
      <c r="L259" s="2"/>
    </row>
    <row r="260" spans="1:12" ht="12.75">
      <c r="A260" s="3">
        <v>104</v>
      </c>
      <c r="B260" s="1" t="s">
        <v>272</v>
      </c>
      <c r="C260" s="4">
        <f>2148185/1000</f>
        <v>2148.185</v>
      </c>
      <c r="D260" s="4">
        <f>4499661/1000</f>
        <v>4499.661</v>
      </c>
      <c r="E260" s="4">
        <f>11005970/1000</f>
        <v>11005.97</v>
      </c>
      <c r="F260" s="4">
        <f>1006528/1000</f>
        <v>1006.528</v>
      </c>
      <c r="G260" s="4">
        <f>3511879/1000</f>
        <v>3511.879</v>
      </c>
      <c r="H260" s="4">
        <v>770</v>
      </c>
      <c r="I260" s="4">
        <f>3232886/1000</f>
        <v>3232.886</v>
      </c>
      <c r="J260" s="4">
        <v>238</v>
      </c>
      <c r="K260" s="4">
        <f t="shared" si="37"/>
        <v>26413.108999999997</v>
      </c>
      <c r="L260" s="2"/>
    </row>
    <row r="261" spans="1:12" ht="12.75">
      <c r="A261" s="3">
        <v>132</v>
      </c>
      <c r="B261" s="1" t="s">
        <v>273</v>
      </c>
      <c r="C261" s="4">
        <f>3443683/1000</f>
        <v>3443.683</v>
      </c>
      <c r="D261" s="4">
        <f>4129284/1000</f>
        <v>4129.284</v>
      </c>
      <c r="E261" s="4">
        <f>7570226/1000</f>
        <v>7570.226</v>
      </c>
      <c r="F261" s="4">
        <f>915002/1000</f>
        <v>915.002</v>
      </c>
      <c r="G261" s="4">
        <f>1943524/1000</f>
        <v>1943.524</v>
      </c>
      <c r="H261" s="4">
        <v>444</v>
      </c>
      <c r="I261" s="4">
        <f>1658776/1000</f>
        <v>1658.776</v>
      </c>
      <c r="J261" s="4">
        <v>419</v>
      </c>
      <c r="K261" s="4">
        <f t="shared" si="37"/>
        <v>20523.495000000003</v>
      </c>
      <c r="L261" s="2"/>
    </row>
    <row r="262" spans="1:12" ht="12.75">
      <c r="A262" s="3">
        <v>143</v>
      </c>
      <c r="B262" s="1" t="s">
        <v>274</v>
      </c>
      <c r="C262" s="4">
        <f>1712908/1000</f>
        <v>1712.908</v>
      </c>
      <c r="D262" s="4">
        <f>2178455/1000</f>
        <v>2178.455</v>
      </c>
      <c r="E262" s="4">
        <f>4973582/1000</f>
        <v>4973.582</v>
      </c>
      <c r="F262" s="4">
        <f>1017147/1000</f>
        <v>1017.147</v>
      </c>
      <c r="G262" s="4">
        <f>1131914/1000</f>
        <v>1131.914</v>
      </c>
      <c r="H262" s="4">
        <v>368</v>
      </c>
      <c r="I262" s="4">
        <f>1339637/1000</f>
        <v>1339.637</v>
      </c>
      <c r="J262" s="4">
        <v>312</v>
      </c>
      <c r="K262" s="4">
        <f t="shared" si="37"/>
        <v>13033.643000000002</v>
      </c>
      <c r="L262" s="2"/>
    </row>
    <row r="263" spans="1:12" ht="12.75">
      <c r="A263" s="3">
        <v>152</v>
      </c>
      <c r="B263" s="1" t="s">
        <v>275</v>
      </c>
      <c r="C263" s="4">
        <f>2384550/1000</f>
        <v>2384.55</v>
      </c>
      <c r="D263" s="4">
        <f>1633691/1000</f>
        <v>1633.691</v>
      </c>
      <c r="E263" s="4">
        <f>4737007/1000</f>
        <v>4737.007</v>
      </c>
      <c r="F263" s="4">
        <f>1121160/1000</f>
        <v>1121.16</v>
      </c>
      <c r="G263" s="4">
        <f>1124566/1000</f>
        <v>1124.566</v>
      </c>
      <c r="H263" s="4">
        <v>340</v>
      </c>
      <c r="I263" s="4">
        <f>1001570/1000</f>
        <v>1001.57</v>
      </c>
      <c r="J263" s="4">
        <v>391</v>
      </c>
      <c r="K263" s="4">
        <f t="shared" si="37"/>
        <v>12733.544</v>
      </c>
      <c r="L263" s="2"/>
    </row>
    <row r="264" spans="1:12" ht="12.75">
      <c r="A264" s="3">
        <v>191</v>
      </c>
      <c r="B264" s="1" t="s">
        <v>276</v>
      </c>
      <c r="C264" s="4">
        <f>2432195/1000</f>
        <v>2432.195</v>
      </c>
      <c r="D264" s="4">
        <f>2661774/1000</f>
        <v>2661.774</v>
      </c>
      <c r="E264" s="4">
        <f>4934517/1000</f>
        <v>4934.517</v>
      </c>
      <c r="F264" s="4">
        <f>480045/1000</f>
        <v>480.045</v>
      </c>
      <c r="G264" s="4">
        <f>1006590/1000</f>
        <v>1006.59</v>
      </c>
      <c r="H264" s="4">
        <v>226</v>
      </c>
      <c r="I264" s="4">
        <f>1499132/1000</f>
        <v>1499.132</v>
      </c>
      <c r="J264" s="4">
        <v>191</v>
      </c>
      <c r="K264" s="4">
        <f t="shared" si="37"/>
        <v>13431.253</v>
      </c>
      <c r="L264" s="2"/>
    </row>
    <row r="265" spans="1:12" ht="12.75">
      <c r="A265" s="3">
        <v>203</v>
      </c>
      <c r="B265" s="1" t="s">
        <v>277</v>
      </c>
      <c r="C265" s="4">
        <f>2011630/1000</f>
        <v>2011.63</v>
      </c>
      <c r="D265" s="4">
        <f>2094113/1000</f>
        <v>2094.113</v>
      </c>
      <c r="E265" s="4">
        <f>3210430/1000</f>
        <v>3210.43</v>
      </c>
      <c r="F265" s="4">
        <f>284981/1000</f>
        <v>284.981</v>
      </c>
      <c r="G265" s="4">
        <f>685338/1000</f>
        <v>685.338</v>
      </c>
      <c r="H265" s="4">
        <v>92</v>
      </c>
      <c r="I265" s="4">
        <f>648992/1000</f>
        <v>648.992</v>
      </c>
      <c r="J265" s="4">
        <v>303</v>
      </c>
      <c r="K265" s="4">
        <f t="shared" si="37"/>
        <v>9330.484</v>
      </c>
      <c r="L265" s="2"/>
    </row>
    <row r="266" spans="1:12" ht="12.75">
      <c r="A266" s="3">
        <v>238</v>
      </c>
      <c r="B266" s="1" t="s">
        <v>278</v>
      </c>
      <c r="C266" s="4">
        <f>4145695/1000</f>
        <v>4145.695</v>
      </c>
      <c r="D266" s="4">
        <f>4359388/1000</f>
        <v>4359.388</v>
      </c>
      <c r="E266" s="4">
        <f>8421161/1000</f>
        <v>8421.161</v>
      </c>
      <c r="F266" s="4">
        <f>1416926/1000</f>
        <v>1416.926</v>
      </c>
      <c r="G266" s="4">
        <f>2112395/1000</f>
        <v>2112.395</v>
      </c>
      <c r="H266" s="4">
        <v>397</v>
      </c>
      <c r="I266" s="4">
        <f>3026594/1000</f>
        <v>3026.594</v>
      </c>
      <c r="J266" s="4">
        <v>314</v>
      </c>
      <c r="K266" s="4">
        <f t="shared" si="37"/>
        <v>24193.159</v>
      </c>
      <c r="L266" s="2"/>
    </row>
    <row r="267" spans="1:12" ht="12.75">
      <c r="A267" s="3">
        <v>290</v>
      </c>
      <c r="B267" s="1" t="s">
        <v>279</v>
      </c>
      <c r="C267" s="4">
        <f>3124172/1000</f>
        <v>3124.172</v>
      </c>
      <c r="D267" s="4">
        <f>4016043/1000</f>
        <v>4016.043</v>
      </c>
      <c r="E267" s="4">
        <f>3210031/1000</f>
        <v>3210.031</v>
      </c>
      <c r="F267" s="4">
        <f>392464/1000</f>
        <v>392.464</v>
      </c>
      <c r="G267" s="4">
        <f>1325565/1000</f>
        <v>1325.565</v>
      </c>
      <c r="H267" s="4">
        <v>313</v>
      </c>
      <c r="I267" s="4">
        <f>966359/1000</f>
        <v>966.359</v>
      </c>
      <c r="J267" s="4">
        <v>981</v>
      </c>
      <c r="K267" s="4">
        <f t="shared" si="37"/>
        <v>14328.634</v>
      </c>
      <c r="L267" s="2"/>
    </row>
    <row r="268" spans="1:12" ht="12.75">
      <c r="A268" s="6"/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2"/>
    </row>
    <row r="269" spans="1:12" ht="12.75">
      <c r="A269" s="6"/>
      <c r="B269" s="3" t="s">
        <v>280</v>
      </c>
      <c r="C269" s="4">
        <f>SUM(C271:C273)</f>
        <v>21915</v>
      </c>
      <c r="D269" s="4">
        <f>SUM(D271:D273)</f>
        <v>23223.857</v>
      </c>
      <c r="E269" s="4">
        <f>SUM(E271:E273)</f>
        <v>38842.700000000004</v>
      </c>
      <c r="F269" s="4">
        <f aca="true" t="shared" si="38" ref="F269:K269">SUM(F271:F273)</f>
        <v>3445.813</v>
      </c>
      <c r="G269" s="4">
        <f t="shared" si="38"/>
        <v>10062</v>
      </c>
      <c r="H269" s="4">
        <f t="shared" si="38"/>
        <v>765</v>
      </c>
      <c r="I269" s="4">
        <f t="shared" si="38"/>
        <v>259.521</v>
      </c>
      <c r="J269" s="4">
        <f t="shared" si="38"/>
        <v>1612</v>
      </c>
      <c r="K269" s="4">
        <f t="shared" si="38"/>
        <v>100125.891</v>
      </c>
      <c r="L269" s="2"/>
    </row>
    <row r="270" spans="1:12" ht="12.75">
      <c r="A270" s="6"/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2"/>
    </row>
    <row r="271" spans="1:12" ht="12.75">
      <c r="A271" s="3" t="s">
        <v>281</v>
      </c>
      <c r="B271" s="1" t="s">
        <v>282</v>
      </c>
      <c r="C271" s="4">
        <v>9633</v>
      </c>
      <c r="D271" s="4">
        <f>10307311/1000</f>
        <v>10307.311</v>
      </c>
      <c r="E271" s="4">
        <f>16998508/1000</f>
        <v>16998.508</v>
      </c>
      <c r="F271" s="4">
        <f>1705434/1000</f>
        <v>1705.434</v>
      </c>
      <c r="G271" s="4">
        <v>4591</v>
      </c>
      <c r="H271" s="4">
        <v>355</v>
      </c>
      <c r="I271" s="4">
        <v>90</v>
      </c>
      <c r="J271" s="4">
        <v>690</v>
      </c>
      <c r="K271" s="4">
        <f>SUM(C271:J271)</f>
        <v>44370.253000000004</v>
      </c>
      <c r="L271" s="2"/>
    </row>
    <row r="272" spans="1:12" ht="12.75">
      <c r="A272" s="3">
        <v>153</v>
      </c>
      <c r="B272" s="1" t="s">
        <v>283</v>
      </c>
      <c r="C272" s="4">
        <v>5666</v>
      </c>
      <c r="D272" s="4">
        <f>5400995/1000</f>
        <v>5400.995</v>
      </c>
      <c r="E272" s="4">
        <f>9060991/1000</f>
        <v>9060.991</v>
      </c>
      <c r="F272" s="4">
        <f>800707/1000</f>
        <v>800.707</v>
      </c>
      <c r="G272" s="4">
        <v>2309</v>
      </c>
      <c r="H272" s="4">
        <v>155</v>
      </c>
      <c r="I272" s="4">
        <v>59</v>
      </c>
      <c r="J272" s="4">
        <v>528</v>
      </c>
      <c r="K272" s="4">
        <f>SUM(C272:J272)</f>
        <v>23979.692999999996</v>
      </c>
      <c r="L272" s="2"/>
    </row>
    <row r="273" spans="1:12" ht="12.75">
      <c r="A273" s="3">
        <v>239</v>
      </c>
      <c r="B273" s="1" t="s">
        <v>282</v>
      </c>
      <c r="C273" s="4">
        <v>6616</v>
      </c>
      <c r="D273" s="4">
        <f>7515551/1000</f>
        <v>7515.551</v>
      </c>
      <c r="E273" s="4">
        <f>12783201/1000</f>
        <v>12783.201</v>
      </c>
      <c r="F273" s="4">
        <f>939672/1000</f>
        <v>939.672</v>
      </c>
      <c r="G273" s="4">
        <v>3162</v>
      </c>
      <c r="H273" s="4">
        <v>255</v>
      </c>
      <c r="I273" s="4">
        <f>110521/1000</f>
        <v>110.521</v>
      </c>
      <c r="J273" s="4">
        <v>394</v>
      </c>
      <c r="K273" s="4">
        <f>SUM(C273:J273)</f>
        <v>31775.945</v>
      </c>
      <c r="L273" s="2"/>
    </row>
    <row r="274" spans="1:12" ht="12.75">
      <c r="A274" s="6"/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2"/>
    </row>
    <row r="275" spans="1:12" ht="12.75">
      <c r="A275" s="6"/>
      <c r="B275" s="3" t="s">
        <v>284</v>
      </c>
      <c r="C275" s="4">
        <f>SUM(C277:C281)</f>
        <v>55180.595</v>
      </c>
      <c r="D275" s="4">
        <f>SUM(D277:D281)</f>
        <v>53506.691999999995</v>
      </c>
      <c r="E275" s="4">
        <f>SUM(E277:E281)</f>
        <v>88979.699</v>
      </c>
      <c r="F275" s="4">
        <f aca="true" t="shared" si="39" ref="F275:K275">SUM(F277:F281)</f>
        <v>13038.348</v>
      </c>
      <c r="G275" s="4">
        <f t="shared" si="39"/>
        <v>28598</v>
      </c>
      <c r="H275" s="4">
        <f t="shared" si="39"/>
        <v>7678</v>
      </c>
      <c r="I275" s="4">
        <f t="shared" si="39"/>
        <v>36321</v>
      </c>
      <c r="J275" s="4">
        <f t="shared" si="39"/>
        <v>7957.3769999999995</v>
      </c>
      <c r="K275" s="4">
        <f t="shared" si="39"/>
        <v>291259.711</v>
      </c>
      <c r="L275" s="2"/>
    </row>
    <row r="276" spans="1:12" ht="12.75">
      <c r="A276" s="6"/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2"/>
    </row>
    <row r="277" spans="1:12" ht="12.75">
      <c r="A277" s="3">
        <v>126</v>
      </c>
      <c r="B277" s="1" t="s">
        <v>285</v>
      </c>
      <c r="C277" s="4">
        <f>5873877/1000</f>
        <v>5873.877</v>
      </c>
      <c r="D277" s="4">
        <f>6615245/1000</f>
        <v>6615.245</v>
      </c>
      <c r="E277" s="4">
        <f>11666526/1000</f>
        <v>11666.526</v>
      </c>
      <c r="F277" s="4">
        <v>2565</v>
      </c>
      <c r="G277" s="4">
        <v>3378</v>
      </c>
      <c r="H277" s="4">
        <v>785</v>
      </c>
      <c r="I277" s="4">
        <v>7381</v>
      </c>
      <c r="J277" s="4">
        <f>1163992/1000</f>
        <v>1163.992</v>
      </c>
      <c r="K277" s="4">
        <f>SUM(C277:J277)</f>
        <v>39428.64</v>
      </c>
      <c r="L277" s="2"/>
    </row>
    <row r="278" spans="1:12" ht="12.75">
      <c r="A278" s="3">
        <v>141</v>
      </c>
      <c r="B278" s="1" t="s">
        <v>286</v>
      </c>
      <c r="C278" s="4">
        <f>6073707/1000</f>
        <v>6073.707</v>
      </c>
      <c r="D278" s="4">
        <f>5584228/1000</f>
        <v>5584.228</v>
      </c>
      <c r="E278" s="4">
        <f>10004918/1000</f>
        <v>10004.918</v>
      </c>
      <c r="F278" s="4">
        <v>1397</v>
      </c>
      <c r="G278" s="4">
        <v>2954</v>
      </c>
      <c r="H278" s="4">
        <v>280</v>
      </c>
      <c r="I278" s="4">
        <v>2064</v>
      </c>
      <c r="J278" s="4">
        <f>1340532/1000</f>
        <v>1340.532</v>
      </c>
      <c r="K278" s="4">
        <f>SUM(C278:J278)</f>
        <v>29698.385000000002</v>
      </c>
      <c r="L278" s="2"/>
    </row>
    <row r="279" spans="1:12" ht="12.75">
      <c r="A279" s="3">
        <v>197</v>
      </c>
      <c r="B279" s="1" t="s">
        <v>287</v>
      </c>
      <c r="C279" s="4">
        <f>5479161/1000</f>
        <v>5479.161</v>
      </c>
      <c r="D279" s="4">
        <f>4480115/1000</f>
        <v>4480.115</v>
      </c>
      <c r="E279" s="4">
        <v>6305</v>
      </c>
      <c r="F279" s="4">
        <f>1111760/1000</f>
        <v>1111.76</v>
      </c>
      <c r="G279" s="4">
        <v>2270</v>
      </c>
      <c r="H279" s="4">
        <v>499</v>
      </c>
      <c r="I279" s="4">
        <v>2865</v>
      </c>
      <c r="J279" s="4">
        <f>827544/1000</f>
        <v>827.544</v>
      </c>
      <c r="K279" s="4">
        <f>SUM(C279:J279)</f>
        <v>23837.58</v>
      </c>
      <c r="L279" s="2"/>
    </row>
    <row r="280" spans="1:12" ht="12.75">
      <c r="A280" s="3">
        <v>240</v>
      </c>
      <c r="B280" s="1" t="s">
        <v>286</v>
      </c>
      <c r="C280" s="4">
        <f>11725229/1000</f>
        <v>11725.229</v>
      </c>
      <c r="D280" s="4">
        <f>13106282/1000</f>
        <v>13106.282</v>
      </c>
      <c r="E280" s="4">
        <f>19013666/1000</f>
        <v>19013.666</v>
      </c>
      <c r="F280" s="4">
        <f>2783622/1000</f>
        <v>2783.622</v>
      </c>
      <c r="G280" s="4">
        <v>5929</v>
      </c>
      <c r="H280" s="4">
        <v>1575</v>
      </c>
      <c r="I280" s="4">
        <v>23605</v>
      </c>
      <c r="J280" s="4">
        <f>2591573/1000</f>
        <v>2591.573</v>
      </c>
      <c r="K280" s="4">
        <f>SUM(C280:J280)</f>
        <v>80329.372</v>
      </c>
      <c r="L280" s="2"/>
    </row>
    <row r="281" spans="1:12" ht="12.75">
      <c r="A281" s="3">
        <v>288</v>
      </c>
      <c r="B281" s="1" t="s">
        <v>288</v>
      </c>
      <c r="C281" s="4">
        <f>26028621/1000</f>
        <v>26028.621</v>
      </c>
      <c r="D281" s="4">
        <f>23720822/1000</f>
        <v>23720.822</v>
      </c>
      <c r="E281" s="4">
        <f>41989589/1000</f>
        <v>41989.589</v>
      </c>
      <c r="F281" s="4">
        <f>5180966/1000</f>
        <v>5180.966</v>
      </c>
      <c r="G281" s="4">
        <v>14067</v>
      </c>
      <c r="H281" s="4">
        <v>4539</v>
      </c>
      <c r="I281" s="4">
        <v>406</v>
      </c>
      <c r="J281" s="4">
        <f>2033736/1000</f>
        <v>2033.736</v>
      </c>
      <c r="K281" s="4">
        <f>SUM(C281:J281)</f>
        <v>117965.73400000001</v>
      </c>
      <c r="L281" s="2"/>
    </row>
    <row r="282" spans="1:12" ht="12.75">
      <c r="A282" s="6"/>
      <c r="B282" s="2"/>
      <c r="C282" s="4"/>
      <c r="D282" s="4"/>
      <c r="E282" s="4"/>
      <c r="F282" s="4"/>
      <c r="G282" s="4"/>
      <c r="H282" s="4"/>
      <c r="I282" s="4"/>
      <c r="J282" s="4"/>
      <c r="K282" s="4"/>
      <c r="L282" s="2"/>
    </row>
    <row r="283" spans="1:12" ht="12.75">
      <c r="A283" s="6"/>
      <c r="B283" s="3" t="s">
        <v>289</v>
      </c>
      <c r="C283" s="4">
        <f>SUM(C285:C290)</f>
        <v>34175.445</v>
      </c>
      <c r="D283" s="4">
        <f>SUM(D285:D290)</f>
        <v>32786.842000000004</v>
      </c>
      <c r="E283" s="4">
        <f>SUM(E285:E290)</f>
        <v>59459.248</v>
      </c>
      <c r="F283" s="4">
        <f aca="true" t="shared" si="40" ref="F283:K283">SUM(F285:F290)</f>
        <v>7470.648</v>
      </c>
      <c r="G283" s="4">
        <f t="shared" si="40"/>
        <v>15623.720000000001</v>
      </c>
      <c r="H283" s="4">
        <f t="shared" si="40"/>
        <v>2638.728</v>
      </c>
      <c r="I283" s="4">
        <f t="shared" si="40"/>
        <v>17441.84</v>
      </c>
      <c r="J283" s="4">
        <f t="shared" si="40"/>
        <v>4158</v>
      </c>
      <c r="K283" s="4">
        <f t="shared" si="40"/>
        <v>173754.47100000002</v>
      </c>
      <c r="L283" s="2"/>
    </row>
    <row r="284" spans="1:12" ht="12.75">
      <c r="A284" s="6"/>
      <c r="B284" s="2"/>
      <c r="C284" s="4"/>
      <c r="D284" s="4"/>
      <c r="E284" s="4"/>
      <c r="F284" s="4"/>
      <c r="G284" s="4"/>
      <c r="H284" s="4"/>
      <c r="I284" s="4"/>
      <c r="J284" s="4"/>
      <c r="K284" s="4"/>
      <c r="L284" s="2"/>
    </row>
    <row r="285" spans="1:12" ht="12.75">
      <c r="A285" s="3" t="s">
        <v>290</v>
      </c>
      <c r="B285" s="1" t="s">
        <v>291</v>
      </c>
      <c r="C285" s="4">
        <f>7131136/1000</f>
        <v>7131.136</v>
      </c>
      <c r="D285" s="4">
        <f>8177958/1000</f>
        <v>8177.958</v>
      </c>
      <c r="E285" s="4">
        <f>14086073/1000</f>
        <v>14086.073</v>
      </c>
      <c r="F285" s="4">
        <f>1747346/1000</f>
        <v>1747.346</v>
      </c>
      <c r="G285" s="4">
        <v>3499</v>
      </c>
      <c r="H285" s="4">
        <v>1741</v>
      </c>
      <c r="I285" s="4">
        <v>13029</v>
      </c>
      <c r="J285" s="4">
        <v>926</v>
      </c>
      <c r="K285" s="4">
        <f aca="true" t="shared" si="41" ref="K285:K290">SUM(C285:J285)</f>
        <v>50337.513000000006</v>
      </c>
      <c r="L285" s="2"/>
    </row>
    <row r="286" spans="1:12" ht="12.75">
      <c r="A286" s="3" t="s">
        <v>292</v>
      </c>
      <c r="B286" s="1" t="s">
        <v>293</v>
      </c>
      <c r="C286" s="4">
        <f>10210647/1000</f>
        <v>10210.647</v>
      </c>
      <c r="D286" s="4">
        <f>8436789/1000</f>
        <v>8436.789</v>
      </c>
      <c r="E286" s="4">
        <f>15530543/1000</f>
        <v>15530.543</v>
      </c>
      <c r="F286" s="4">
        <f>2062162/1000</f>
        <v>2062.162</v>
      </c>
      <c r="G286" s="4">
        <v>5356</v>
      </c>
      <c r="H286" s="4">
        <v>281</v>
      </c>
      <c r="I286" s="4">
        <v>166</v>
      </c>
      <c r="J286" s="4">
        <v>586</v>
      </c>
      <c r="K286" s="4">
        <f t="shared" si="41"/>
        <v>42629.140999999996</v>
      </c>
      <c r="L286" s="2"/>
    </row>
    <row r="287" spans="1:12" ht="12.75">
      <c r="A287" s="3">
        <v>129</v>
      </c>
      <c r="B287" s="1" t="s">
        <v>294</v>
      </c>
      <c r="C287" s="4">
        <f>3059376/1000</f>
        <v>3059.376</v>
      </c>
      <c r="D287" s="4">
        <f>3317095/1000</f>
        <v>3317.095</v>
      </c>
      <c r="E287" s="4">
        <f>5712632/1000</f>
        <v>5712.632</v>
      </c>
      <c r="F287" s="4">
        <f>661674/1000</f>
        <v>661.674</v>
      </c>
      <c r="G287" s="4">
        <v>1078</v>
      </c>
      <c r="H287" s="4">
        <v>85</v>
      </c>
      <c r="I287" s="4">
        <v>49</v>
      </c>
      <c r="J287" s="4">
        <v>678</v>
      </c>
      <c r="K287" s="4">
        <f t="shared" si="41"/>
        <v>14640.776999999998</v>
      </c>
      <c r="L287" s="2"/>
    </row>
    <row r="288" spans="1:12" ht="12.75">
      <c r="A288" s="3">
        <v>144</v>
      </c>
      <c r="B288" s="1" t="s">
        <v>295</v>
      </c>
      <c r="C288" s="4">
        <f>3730383/1000</f>
        <v>3730.383</v>
      </c>
      <c r="D288" s="4">
        <v>4129</v>
      </c>
      <c r="E288" s="4">
        <v>9185</v>
      </c>
      <c r="F288" s="4">
        <f>1015519/1000</f>
        <v>1015.519</v>
      </c>
      <c r="G288" s="4">
        <f>2120326/1000</f>
        <v>2120.326</v>
      </c>
      <c r="H288" s="4">
        <f>89969/1000</f>
        <v>89.969</v>
      </c>
      <c r="I288" s="4">
        <f>93113/1000</f>
        <v>93.113</v>
      </c>
      <c r="J288" s="4">
        <v>620</v>
      </c>
      <c r="K288" s="4">
        <f t="shared" si="41"/>
        <v>20983.310000000005</v>
      </c>
      <c r="L288" s="2"/>
    </row>
    <row r="289" spans="1:12" ht="12.75">
      <c r="A289" s="3">
        <v>145</v>
      </c>
      <c r="B289" s="1" t="s">
        <v>296</v>
      </c>
      <c r="C289" s="4">
        <f>3602963/1000</f>
        <v>3602.963</v>
      </c>
      <c r="D289" s="4">
        <v>2587</v>
      </c>
      <c r="E289" s="4">
        <v>4361</v>
      </c>
      <c r="F289" s="4">
        <f>619577/1000</f>
        <v>619.577</v>
      </c>
      <c r="G289" s="4">
        <f>1256117/1000</f>
        <v>1256.117</v>
      </c>
      <c r="H289" s="4">
        <f>115028/1000</f>
        <v>115.028</v>
      </c>
      <c r="I289" s="4">
        <f>721423/1000</f>
        <v>721.423</v>
      </c>
      <c r="J289" s="4">
        <v>466</v>
      </c>
      <c r="K289" s="4">
        <f t="shared" si="41"/>
        <v>13729.108</v>
      </c>
      <c r="L289" s="2"/>
    </row>
    <row r="290" spans="1:12" ht="12.75">
      <c r="A290" s="3">
        <v>241</v>
      </c>
      <c r="B290" s="1" t="s">
        <v>291</v>
      </c>
      <c r="C290" s="4">
        <f>6440940/1000</f>
        <v>6440.94</v>
      </c>
      <c r="D290" s="4">
        <v>6139</v>
      </c>
      <c r="E290" s="4">
        <v>10584</v>
      </c>
      <c r="F290" s="4">
        <f>1364370/1000</f>
        <v>1364.37</v>
      </c>
      <c r="G290" s="4">
        <f>2314277/1000</f>
        <v>2314.277</v>
      </c>
      <c r="H290" s="4">
        <f>326731/1000</f>
        <v>326.731</v>
      </c>
      <c r="I290" s="4">
        <f>3383304/1000</f>
        <v>3383.304</v>
      </c>
      <c r="J290" s="4">
        <v>882</v>
      </c>
      <c r="K290" s="4">
        <f t="shared" si="41"/>
        <v>31434.622</v>
      </c>
      <c r="L290" s="2"/>
    </row>
    <row r="291" spans="1:12" ht="12.75">
      <c r="A291" s="6"/>
      <c r="B291" s="2"/>
      <c r="C291" s="4"/>
      <c r="D291" s="4"/>
      <c r="E291" s="4"/>
      <c r="F291" s="4"/>
      <c r="G291" s="4"/>
      <c r="H291" s="4"/>
      <c r="I291" s="4"/>
      <c r="J291" s="4"/>
      <c r="K291" s="4"/>
      <c r="L291" s="2"/>
    </row>
    <row r="292" spans="1:12" ht="12.75">
      <c r="A292" s="6"/>
      <c r="B292" s="3" t="s">
        <v>297</v>
      </c>
      <c r="C292" s="4">
        <f>SUM(C294:C301)</f>
        <v>31267.983999999997</v>
      </c>
      <c r="D292" s="4">
        <f>SUM(D294:D301)</f>
        <v>30737.046000000002</v>
      </c>
      <c r="E292" s="4">
        <f>SUM(E294:E301)</f>
        <v>58558.782999999996</v>
      </c>
      <c r="F292" s="4">
        <f aca="true" t="shared" si="42" ref="F292:K292">SUM(F294:F301)</f>
        <v>6694</v>
      </c>
      <c r="G292" s="4">
        <f t="shared" si="42"/>
        <v>18209.173000000003</v>
      </c>
      <c r="H292" s="4">
        <f t="shared" si="42"/>
        <v>2646.646</v>
      </c>
      <c r="I292" s="4">
        <f t="shared" si="42"/>
        <v>45226.852999999996</v>
      </c>
      <c r="J292" s="4">
        <f t="shared" si="42"/>
        <v>966.338</v>
      </c>
      <c r="K292" s="4">
        <f t="shared" si="42"/>
        <v>194306.82300000003</v>
      </c>
      <c r="L292" s="4"/>
    </row>
    <row r="293" spans="1:12" ht="12.75">
      <c r="A293" s="6"/>
      <c r="B293" s="2"/>
      <c r="C293" s="4"/>
      <c r="D293" s="4"/>
      <c r="E293" s="4"/>
      <c r="F293" s="4"/>
      <c r="G293" s="4"/>
      <c r="H293" s="4"/>
      <c r="I293" s="4"/>
      <c r="J293" s="4"/>
      <c r="K293" s="4"/>
      <c r="L293" s="2"/>
    </row>
    <row r="294" spans="1:12" ht="12.75">
      <c r="A294" s="3" t="s">
        <v>298</v>
      </c>
      <c r="B294" s="1" t="s">
        <v>299</v>
      </c>
      <c r="C294" s="4">
        <f>10600317/1000</f>
        <v>10600.317</v>
      </c>
      <c r="D294" s="4">
        <f>11214148/1000</f>
        <v>11214.148</v>
      </c>
      <c r="E294" s="4">
        <f>18729397/1000</f>
        <v>18729.397</v>
      </c>
      <c r="F294" s="4">
        <v>2577</v>
      </c>
      <c r="G294" s="4">
        <f>7188246/1000</f>
        <v>7188.246</v>
      </c>
      <c r="H294" s="4">
        <f>405585/1000</f>
        <v>405.585</v>
      </c>
      <c r="I294" s="4">
        <f>2659508/1000</f>
        <v>2659.508</v>
      </c>
      <c r="J294" s="4">
        <v>462</v>
      </c>
      <c r="K294" s="4">
        <f aca="true" t="shared" si="43" ref="K294:K301">SUM(C294:J294)</f>
        <v>53836.200999999994</v>
      </c>
      <c r="L294" s="2"/>
    </row>
    <row r="295" spans="1:12" ht="12.75">
      <c r="A295" s="3" t="s">
        <v>300</v>
      </c>
      <c r="B295" s="1" t="s">
        <v>301</v>
      </c>
      <c r="C295" s="4">
        <f>3943982/1000</f>
        <v>3943.982</v>
      </c>
      <c r="D295" s="4">
        <f>3953916/1000</f>
        <v>3953.916</v>
      </c>
      <c r="E295" s="4">
        <f>9424018/1000</f>
        <v>9424.018</v>
      </c>
      <c r="F295" s="4">
        <v>1611</v>
      </c>
      <c r="G295" s="4">
        <f>2800462/1000</f>
        <v>2800.462</v>
      </c>
      <c r="H295" s="4">
        <f>282649/1000</f>
        <v>282.649</v>
      </c>
      <c r="I295" s="4">
        <f>644374/1000</f>
        <v>644.374</v>
      </c>
      <c r="J295" s="4">
        <v>189</v>
      </c>
      <c r="K295" s="4">
        <f t="shared" si="43"/>
        <v>22849.401</v>
      </c>
      <c r="L295" s="2"/>
    </row>
    <row r="296" spans="1:12" ht="12.75">
      <c r="A296" s="3" t="s">
        <v>302</v>
      </c>
      <c r="B296" s="1" t="s">
        <v>303</v>
      </c>
      <c r="C296" s="4">
        <f>70685/1000</f>
        <v>70.685</v>
      </c>
      <c r="D296" s="4">
        <f>133850/1000</f>
        <v>133.85</v>
      </c>
      <c r="E296" s="4">
        <f>168465/1000</f>
        <v>168.465</v>
      </c>
      <c r="F296" s="4">
        <v>27</v>
      </c>
      <c r="G296" s="4">
        <f>77982/1000</f>
        <v>77.982</v>
      </c>
      <c r="H296" s="4">
        <v>12.785</v>
      </c>
      <c r="I296" s="4">
        <f>78844/1000</f>
        <v>78.844</v>
      </c>
      <c r="J296" s="4">
        <v>27</v>
      </c>
      <c r="K296" s="4">
        <f t="shared" si="43"/>
        <v>596.611</v>
      </c>
      <c r="L296" s="2"/>
    </row>
    <row r="297" spans="1:12" ht="12.75">
      <c r="A297" s="3">
        <v>111</v>
      </c>
      <c r="B297" s="1" t="s">
        <v>304</v>
      </c>
      <c r="C297" s="4">
        <v>2860</v>
      </c>
      <c r="D297" s="4">
        <f>3103713/1000</f>
        <v>3103.713</v>
      </c>
      <c r="E297" s="4">
        <f>5065318/1000</f>
        <v>5065.318</v>
      </c>
      <c r="F297" s="4">
        <v>562</v>
      </c>
      <c r="G297" s="4">
        <f>1762240/1000</f>
        <v>1762.24</v>
      </c>
      <c r="H297" s="4">
        <f>710175/1000</f>
        <v>710.175</v>
      </c>
      <c r="I297" s="4">
        <f>16195479/1000</f>
        <v>16195.479</v>
      </c>
      <c r="J297" s="4">
        <v>63</v>
      </c>
      <c r="K297" s="4">
        <f t="shared" si="43"/>
        <v>30321.924999999996</v>
      </c>
      <c r="L297" s="2"/>
    </row>
    <row r="298" spans="1:12" ht="12.75">
      <c r="A298" s="3">
        <v>146</v>
      </c>
      <c r="B298" s="1" t="s">
        <v>305</v>
      </c>
      <c r="C298" s="4">
        <v>7158</v>
      </c>
      <c r="D298" s="4">
        <f>6036088/1000</f>
        <v>6036.088</v>
      </c>
      <c r="E298" s="4">
        <f>12903733/1000</f>
        <v>12903.733</v>
      </c>
      <c r="F298" s="4">
        <v>856</v>
      </c>
      <c r="G298" s="4">
        <f>3385545/1000</f>
        <v>3385.545</v>
      </c>
      <c r="H298" s="4">
        <f>725824/1000</f>
        <v>725.824</v>
      </c>
      <c r="I298" s="4">
        <f>14779411/1000</f>
        <v>14779.411</v>
      </c>
      <c r="J298" s="4">
        <v>130</v>
      </c>
      <c r="K298" s="4">
        <f t="shared" si="43"/>
        <v>45974.601</v>
      </c>
      <c r="L298" s="2"/>
    </row>
    <row r="299" spans="1:12" ht="12.75">
      <c r="A299" s="3">
        <v>190</v>
      </c>
      <c r="B299" s="1" t="s">
        <v>306</v>
      </c>
      <c r="C299" s="4">
        <v>2530</v>
      </c>
      <c r="D299" s="4">
        <f>2296802/1000</f>
        <v>2296.802</v>
      </c>
      <c r="E299" s="4">
        <f>4058285/1000</f>
        <v>4058.285</v>
      </c>
      <c r="F299" s="4">
        <v>303</v>
      </c>
      <c r="G299" s="4">
        <f>1184260/1000</f>
        <v>1184.26</v>
      </c>
      <c r="H299" s="4">
        <f>117186/1000</f>
        <v>117.186</v>
      </c>
      <c r="I299" s="4">
        <f>2052629/1000</f>
        <v>2052.629</v>
      </c>
      <c r="J299" s="4">
        <v>2.829</v>
      </c>
      <c r="K299" s="4">
        <f t="shared" si="43"/>
        <v>12544.991</v>
      </c>
      <c r="L299" s="2"/>
    </row>
    <row r="300" spans="1:12" ht="12.75">
      <c r="A300" s="3">
        <v>242</v>
      </c>
      <c r="B300" s="1" t="s">
        <v>301</v>
      </c>
      <c r="C300" s="4">
        <v>2555</v>
      </c>
      <c r="D300" s="4">
        <f>2631525/1000</f>
        <v>2631.525</v>
      </c>
      <c r="E300" s="4">
        <f>5904799/1000</f>
        <v>5904.799</v>
      </c>
      <c r="F300" s="4">
        <v>574</v>
      </c>
      <c r="G300" s="4">
        <f>1355149/1000</f>
        <v>1355.149</v>
      </c>
      <c r="H300" s="4">
        <f>332416/1000</f>
        <v>332.416</v>
      </c>
      <c r="I300" s="4">
        <f>7273599/1000</f>
        <v>7273.599</v>
      </c>
      <c r="J300" s="4">
        <f>77177/1000</f>
        <v>77.177</v>
      </c>
      <c r="K300" s="4">
        <f t="shared" si="43"/>
        <v>20703.664999999997</v>
      </c>
      <c r="L300" s="2"/>
    </row>
    <row r="301" spans="1:12" ht="12.75">
      <c r="A301" s="3">
        <v>296</v>
      </c>
      <c r="B301" s="1" t="s">
        <v>307</v>
      </c>
      <c r="C301" s="4">
        <v>1550</v>
      </c>
      <c r="D301" s="4">
        <f>1367004/1000</f>
        <v>1367.004</v>
      </c>
      <c r="E301" s="4">
        <f>2304768/1000</f>
        <v>2304.768</v>
      </c>
      <c r="F301" s="4">
        <v>184</v>
      </c>
      <c r="G301" s="4">
        <f>455289/1000</f>
        <v>455.289</v>
      </c>
      <c r="H301" s="4">
        <f>60026/1000</f>
        <v>60.026</v>
      </c>
      <c r="I301" s="4">
        <f>1543009/1000</f>
        <v>1543.009</v>
      </c>
      <c r="J301" s="4">
        <v>15.332</v>
      </c>
      <c r="K301" s="4">
        <f t="shared" si="43"/>
        <v>7479.428</v>
      </c>
      <c r="L301" s="4"/>
    </row>
    <row r="302" spans="1:12" ht="12.75">
      <c r="A302" s="6"/>
      <c r="B302" s="2"/>
      <c r="C302" s="4"/>
      <c r="D302" s="4"/>
      <c r="E302" s="4"/>
      <c r="F302" s="4"/>
      <c r="G302" s="4"/>
      <c r="H302" s="4"/>
      <c r="I302" s="4"/>
      <c r="J302" s="4"/>
      <c r="K302" s="4"/>
      <c r="L302" s="2"/>
    </row>
    <row r="303" spans="1:12" ht="12.75">
      <c r="A303" s="6"/>
      <c r="B303" s="3" t="s">
        <v>308</v>
      </c>
      <c r="C303" s="4">
        <f>SUM(C305:C316)</f>
        <v>45758.03999999999</v>
      </c>
      <c r="D303" s="4">
        <f>SUM(D305:D316)</f>
        <v>58609.56599999999</v>
      </c>
      <c r="E303" s="4">
        <f>SUM(E305:E316)</f>
        <v>87866</v>
      </c>
      <c r="F303" s="4">
        <f aca="true" t="shared" si="44" ref="F303:K303">SUM(F305:F316)</f>
        <v>7568</v>
      </c>
      <c r="G303" s="4">
        <f t="shared" si="44"/>
        <v>25235.091999999997</v>
      </c>
      <c r="H303" s="4">
        <f t="shared" si="44"/>
        <v>2862.68</v>
      </c>
      <c r="I303" s="4">
        <f t="shared" si="44"/>
        <v>48403.991</v>
      </c>
      <c r="J303" s="4">
        <f t="shared" si="44"/>
        <v>4438</v>
      </c>
      <c r="K303" s="4">
        <f t="shared" si="44"/>
        <v>280741.369</v>
      </c>
      <c r="L303" s="2"/>
    </row>
    <row r="304" spans="1:12" ht="12.75">
      <c r="A304" s="6"/>
      <c r="B304" s="2"/>
      <c r="C304" s="4"/>
      <c r="D304" s="4"/>
      <c r="E304" s="4"/>
      <c r="F304" s="4"/>
      <c r="G304" s="4"/>
      <c r="H304" s="4"/>
      <c r="I304" s="4"/>
      <c r="J304" s="4"/>
      <c r="K304" s="4"/>
      <c r="L304" s="2"/>
    </row>
    <row r="305" spans="1:12" ht="12.75">
      <c r="A305" s="3" t="s">
        <v>309</v>
      </c>
      <c r="B305" s="1" t="s">
        <v>310</v>
      </c>
      <c r="C305" s="4">
        <v>2170</v>
      </c>
      <c r="D305" s="4">
        <f>4839204/1000</f>
        <v>4839.204</v>
      </c>
      <c r="E305" s="4">
        <v>5635</v>
      </c>
      <c r="F305" s="4">
        <v>730</v>
      </c>
      <c r="G305" s="4">
        <f>1819909/1000</f>
        <v>1819.909</v>
      </c>
      <c r="H305" s="4">
        <f>235524/1000</f>
        <v>235.524</v>
      </c>
      <c r="I305" s="4">
        <v>3213</v>
      </c>
      <c r="J305" s="4">
        <v>97</v>
      </c>
      <c r="K305" s="4">
        <f aca="true" t="shared" si="45" ref="K305:K316">SUM(C305:J305)</f>
        <v>18739.637</v>
      </c>
      <c r="L305" s="2"/>
    </row>
    <row r="306" spans="1:12" ht="12.75">
      <c r="A306" s="3" t="s">
        <v>311</v>
      </c>
      <c r="B306" s="1" t="s">
        <v>312</v>
      </c>
      <c r="C306" s="4">
        <v>2729</v>
      </c>
      <c r="D306" s="4">
        <f>3711658/1000</f>
        <v>3711.658</v>
      </c>
      <c r="E306" s="4">
        <v>5304</v>
      </c>
      <c r="F306" s="4">
        <v>482</v>
      </c>
      <c r="G306" s="4">
        <f>1657691/1000</f>
        <v>1657.691</v>
      </c>
      <c r="H306" s="4">
        <f>116451/1000</f>
        <v>116.451</v>
      </c>
      <c r="I306" s="4">
        <v>1216</v>
      </c>
      <c r="J306" s="4">
        <v>157</v>
      </c>
      <c r="K306" s="4">
        <f t="shared" si="45"/>
        <v>15373.8</v>
      </c>
      <c r="L306" s="2"/>
    </row>
    <row r="307" spans="1:12" ht="12.75">
      <c r="A307" s="3" t="s">
        <v>313</v>
      </c>
      <c r="B307" s="1" t="s">
        <v>314</v>
      </c>
      <c r="C307" s="4">
        <v>6357</v>
      </c>
      <c r="D307" s="4">
        <f>6975528/1000</f>
        <v>6975.528</v>
      </c>
      <c r="E307" s="4">
        <v>9337</v>
      </c>
      <c r="F307" s="4">
        <v>1685</v>
      </c>
      <c r="G307" s="4">
        <f>2867175/1000</f>
        <v>2867.175</v>
      </c>
      <c r="H307" s="4">
        <f>411829/1000</f>
        <v>411.829</v>
      </c>
      <c r="I307" s="4">
        <v>5642</v>
      </c>
      <c r="J307" s="4">
        <v>790</v>
      </c>
      <c r="K307" s="4">
        <f t="shared" si="45"/>
        <v>34065.532</v>
      </c>
      <c r="L307" s="2"/>
    </row>
    <row r="308" spans="1:12" ht="12.75">
      <c r="A308" s="3" t="s">
        <v>315</v>
      </c>
      <c r="B308" s="1" t="s">
        <v>316</v>
      </c>
      <c r="C308" s="4">
        <v>5904</v>
      </c>
      <c r="D308" s="4">
        <f>5766068/1000</f>
        <v>5766.068</v>
      </c>
      <c r="E308" s="4">
        <v>10285</v>
      </c>
      <c r="F308" s="4">
        <v>842</v>
      </c>
      <c r="G308" s="4">
        <f>2811869/1000</f>
        <v>2811.869</v>
      </c>
      <c r="H308" s="4">
        <f>410187/1000</f>
        <v>410.187</v>
      </c>
      <c r="I308" s="4">
        <v>4324</v>
      </c>
      <c r="J308" s="4">
        <v>380</v>
      </c>
      <c r="K308" s="4">
        <f t="shared" si="45"/>
        <v>30723.124</v>
      </c>
      <c r="L308" s="2"/>
    </row>
    <row r="309" spans="1:12" ht="12.75">
      <c r="A309" s="3">
        <v>116</v>
      </c>
      <c r="B309" s="1" t="s">
        <v>317</v>
      </c>
      <c r="C309" s="4">
        <f>5946335/1000</f>
        <v>5946.335</v>
      </c>
      <c r="D309" s="4">
        <f>7682971/1000</f>
        <v>7682.971</v>
      </c>
      <c r="E309" s="4">
        <v>14455</v>
      </c>
      <c r="F309" s="4">
        <v>770</v>
      </c>
      <c r="G309" s="4">
        <f>4994124/1000</f>
        <v>4994.124</v>
      </c>
      <c r="H309" s="4">
        <f>542638/1000</f>
        <v>542.638</v>
      </c>
      <c r="I309" s="4">
        <f>8769689/1000</f>
        <v>8769.689</v>
      </c>
      <c r="J309" s="4">
        <v>818</v>
      </c>
      <c r="K309" s="4">
        <f t="shared" si="45"/>
        <v>43978.757</v>
      </c>
      <c r="L309" s="2"/>
    </row>
    <row r="310" spans="1:12" ht="12.75">
      <c r="A310" s="3">
        <v>162</v>
      </c>
      <c r="B310" s="1" t="s">
        <v>318</v>
      </c>
      <c r="C310" s="4">
        <f>4229596/1000</f>
        <v>4229.596</v>
      </c>
      <c r="D310" s="4">
        <f>4875414/1000</f>
        <v>4875.414</v>
      </c>
      <c r="E310" s="4">
        <v>8371</v>
      </c>
      <c r="F310" s="4">
        <v>668</v>
      </c>
      <c r="G310" s="4">
        <f>2229414/1000</f>
        <v>2229.414</v>
      </c>
      <c r="H310" s="4">
        <f>327479/1000</f>
        <v>327.479</v>
      </c>
      <c r="I310" s="4">
        <f>7130219/1000</f>
        <v>7130.219</v>
      </c>
      <c r="J310" s="4">
        <v>359</v>
      </c>
      <c r="K310" s="4">
        <f t="shared" si="45"/>
        <v>28190.122</v>
      </c>
      <c r="L310" s="2"/>
    </row>
    <row r="311" spans="1:12" ht="12.75">
      <c r="A311" s="3" t="s">
        <v>319</v>
      </c>
      <c r="B311" s="1" t="s">
        <v>320</v>
      </c>
      <c r="C311" s="4">
        <f>3841002/1000</f>
        <v>3841.002</v>
      </c>
      <c r="D311" s="4">
        <f>3496788/1000</f>
        <v>3496.788</v>
      </c>
      <c r="E311" s="4">
        <v>7506</v>
      </c>
      <c r="F311" s="4">
        <v>138</v>
      </c>
      <c r="G311" s="4">
        <f>1448378/1000</f>
        <v>1448.378</v>
      </c>
      <c r="H311" s="4">
        <f>327556/1000</f>
        <v>327.556</v>
      </c>
      <c r="I311" s="4">
        <f>6365604/1000</f>
        <v>6365.604</v>
      </c>
      <c r="J311" s="4">
        <v>0</v>
      </c>
      <c r="K311" s="4">
        <f t="shared" si="45"/>
        <v>23123.328</v>
      </c>
      <c r="L311" s="2"/>
    </row>
    <row r="312" spans="1:12" ht="12.75">
      <c r="A312" s="3">
        <v>175</v>
      </c>
      <c r="B312" s="1" t="s">
        <v>321</v>
      </c>
      <c r="C312" s="4">
        <f>1008107/1000</f>
        <v>1008.107</v>
      </c>
      <c r="D312" s="4">
        <f>1101487/1000</f>
        <v>1101.487</v>
      </c>
      <c r="E312" s="4">
        <v>2085</v>
      </c>
      <c r="F312" s="4">
        <v>248</v>
      </c>
      <c r="G312" s="4">
        <f>717821/1000</f>
        <v>717.821</v>
      </c>
      <c r="H312" s="4">
        <f>50012/1000</f>
        <v>50.012</v>
      </c>
      <c r="I312" s="4">
        <f>38090/1000</f>
        <v>38.09</v>
      </c>
      <c r="J312" s="4">
        <v>35</v>
      </c>
      <c r="K312" s="4">
        <f t="shared" si="45"/>
        <v>5283.517</v>
      </c>
      <c r="L312" s="2"/>
    </row>
    <row r="313" spans="1:12" ht="12.75">
      <c r="A313" s="3">
        <v>180</v>
      </c>
      <c r="B313" s="1" t="s">
        <v>322</v>
      </c>
      <c r="C313" s="4">
        <v>2675</v>
      </c>
      <c r="D313" s="4">
        <f>4446136/1000</f>
        <v>4446.136</v>
      </c>
      <c r="E313" s="4">
        <v>5412</v>
      </c>
      <c r="F313" s="4">
        <v>980</v>
      </c>
      <c r="G313" s="4">
        <f>1725493/1000</f>
        <v>1725.493</v>
      </c>
      <c r="H313" s="4">
        <v>18.004</v>
      </c>
      <c r="I313" s="4">
        <f>445884/1000</f>
        <v>445.884</v>
      </c>
      <c r="J313" s="4">
        <v>579</v>
      </c>
      <c r="K313" s="4">
        <f t="shared" si="45"/>
        <v>16281.517000000002</v>
      </c>
      <c r="L313" s="2"/>
    </row>
    <row r="314" spans="1:12" ht="12.75">
      <c r="A314" s="3">
        <v>204</v>
      </c>
      <c r="B314" s="1" t="s">
        <v>323</v>
      </c>
      <c r="C314" s="4">
        <v>4890</v>
      </c>
      <c r="D314" s="4">
        <f>7955847/1000</f>
        <v>7955.847</v>
      </c>
      <c r="E314" s="4">
        <v>10541</v>
      </c>
      <c r="F314" s="4">
        <v>452</v>
      </c>
      <c r="G314" s="4">
        <f>2362676/1000</f>
        <v>2362.676</v>
      </c>
      <c r="H314" s="4">
        <v>169</v>
      </c>
      <c r="I314" s="4">
        <f>9614959/1000</f>
        <v>9614.959</v>
      </c>
      <c r="J314" s="4">
        <v>660</v>
      </c>
      <c r="K314" s="4">
        <f t="shared" si="45"/>
        <v>36645.482</v>
      </c>
      <c r="L314" s="2"/>
    </row>
    <row r="315" spans="1:12" ht="12.75">
      <c r="A315" s="3">
        <v>205</v>
      </c>
      <c r="B315" s="1" t="s">
        <v>324</v>
      </c>
      <c r="C315" s="4">
        <v>4076</v>
      </c>
      <c r="D315" s="4">
        <f>5364196/1000</f>
        <v>5364.196</v>
      </c>
      <c r="E315" s="4">
        <v>4861</v>
      </c>
      <c r="F315" s="4">
        <v>177</v>
      </c>
      <c r="G315" s="4">
        <f>1366527/1000</f>
        <v>1366.527</v>
      </c>
      <c r="H315" s="4">
        <v>20</v>
      </c>
      <c r="I315" s="4">
        <f>62705/1000</f>
        <v>62.705</v>
      </c>
      <c r="J315" s="4">
        <v>449</v>
      </c>
      <c r="K315" s="4">
        <f t="shared" si="45"/>
        <v>16376.428</v>
      </c>
      <c r="L315" s="2"/>
    </row>
    <row r="316" spans="1:12" ht="12.75">
      <c r="A316" s="3">
        <v>243</v>
      </c>
      <c r="B316" s="1" t="s">
        <v>310</v>
      </c>
      <c r="C316" s="4">
        <v>1932</v>
      </c>
      <c r="D316" s="4">
        <f>2394269/1000</f>
        <v>2394.269</v>
      </c>
      <c r="E316" s="4">
        <v>4074</v>
      </c>
      <c r="F316" s="4">
        <v>396</v>
      </c>
      <c r="G316" s="4">
        <f>1234015/1000</f>
        <v>1234.015</v>
      </c>
      <c r="H316" s="4">
        <v>234</v>
      </c>
      <c r="I316" s="4">
        <f>1581841/1000</f>
        <v>1581.841</v>
      </c>
      <c r="J316" s="4">
        <v>114</v>
      </c>
      <c r="K316" s="4">
        <f t="shared" si="45"/>
        <v>11960.125</v>
      </c>
      <c r="L316" s="2"/>
    </row>
    <row r="317" spans="1:12" ht="12.75">
      <c r="A317" s="6"/>
      <c r="B317" s="2"/>
      <c r="C317" s="4"/>
      <c r="D317" s="4"/>
      <c r="E317" s="4"/>
      <c r="F317" s="4"/>
      <c r="G317" s="4"/>
      <c r="H317" s="4"/>
      <c r="I317" s="4"/>
      <c r="J317" s="4"/>
      <c r="K317" s="4"/>
      <c r="L317" s="2"/>
    </row>
    <row r="318" spans="1:12" ht="12.75">
      <c r="A318" s="6"/>
      <c r="B318" s="3" t="s">
        <v>325</v>
      </c>
      <c r="C318" s="4">
        <f>SUM(C320:C326)</f>
        <v>38251.431000000004</v>
      </c>
      <c r="D318" s="4">
        <f>SUM(D320:D326)</f>
        <v>22693.022</v>
      </c>
      <c r="E318" s="4">
        <f>SUM(E320:E326)</f>
        <v>53376.41100000001</v>
      </c>
      <c r="F318" s="4">
        <f aca="true" t="shared" si="46" ref="F318:K318">SUM(F320:F326)</f>
        <v>10864.757</v>
      </c>
      <c r="G318" s="4">
        <f t="shared" si="46"/>
        <v>15069</v>
      </c>
      <c r="H318" s="4">
        <f t="shared" si="46"/>
        <v>3342</v>
      </c>
      <c r="I318" s="4">
        <f t="shared" si="46"/>
        <v>4203.04</v>
      </c>
      <c r="J318" s="4">
        <f t="shared" si="46"/>
        <v>6797</v>
      </c>
      <c r="K318" s="4">
        <f t="shared" si="46"/>
        <v>154596.661</v>
      </c>
      <c r="L318" s="2"/>
    </row>
    <row r="319" spans="1:12" ht="12.75">
      <c r="A319" s="6"/>
      <c r="B319" s="2"/>
      <c r="C319" s="4"/>
      <c r="D319" s="4"/>
      <c r="E319" s="4"/>
      <c r="F319" s="4"/>
      <c r="G319" s="4"/>
      <c r="H319" s="4"/>
      <c r="I319" s="4"/>
      <c r="J319" s="4"/>
      <c r="K319" s="4"/>
      <c r="L319" s="2"/>
    </row>
    <row r="320" spans="1:12" ht="12.75">
      <c r="A320" s="3" t="s">
        <v>326</v>
      </c>
      <c r="B320" s="1" t="s">
        <v>327</v>
      </c>
      <c r="C320" s="4">
        <v>5806</v>
      </c>
      <c r="D320" s="4">
        <f>2906460/1000</f>
        <v>2906.46</v>
      </c>
      <c r="E320" s="4">
        <f>9924008/1000</f>
        <v>9924.008</v>
      </c>
      <c r="F320" s="4">
        <f>2528258/1000</f>
        <v>2528.258</v>
      </c>
      <c r="G320" s="4">
        <v>2097</v>
      </c>
      <c r="H320" s="4">
        <v>385</v>
      </c>
      <c r="I320" s="4">
        <f>350040/1000</f>
        <v>350.04</v>
      </c>
      <c r="J320" s="4">
        <v>1078</v>
      </c>
      <c r="K320" s="4">
        <f aca="true" t="shared" si="47" ref="K320:K326">SUM(C320:J320)</f>
        <v>25074.766000000003</v>
      </c>
      <c r="L320" s="2"/>
    </row>
    <row r="321" spans="1:12" ht="12.75">
      <c r="A321" s="3" t="s">
        <v>328</v>
      </c>
      <c r="B321" s="1" t="s">
        <v>329</v>
      </c>
      <c r="C321" s="4">
        <v>8809</v>
      </c>
      <c r="D321" s="4">
        <f>4193580/1000</f>
        <v>4193.58</v>
      </c>
      <c r="E321" s="4">
        <f>12151177/1000</f>
        <v>12151.177</v>
      </c>
      <c r="F321" s="4">
        <f>2122216/1000</f>
        <v>2122.216</v>
      </c>
      <c r="G321" s="4">
        <v>3684</v>
      </c>
      <c r="H321" s="4">
        <v>476</v>
      </c>
      <c r="I321" s="4">
        <v>492</v>
      </c>
      <c r="J321" s="4">
        <v>554</v>
      </c>
      <c r="K321" s="4">
        <f t="shared" si="47"/>
        <v>32481.972999999998</v>
      </c>
      <c r="L321" s="2"/>
    </row>
    <row r="322" spans="1:12" ht="12.75">
      <c r="A322" s="3">
        <v>244</v>
      </c>
      <c r="B322" s="1" t="s">
        <v>327</v>
      </c>
      <c r="C322" s="4">
        <v>4925</v>
      </c>
      <c r="D322" s="4">
        <f>3395470/1000</f>
        <v>3395.47</v>
      </c>
      <c r="E322" s="4">
        <f>8230859/1000</f>
        <v>8230.859</v>
      </c>
      <c r="F322" s="4">
        <f>2360845/1000</f>
        <v>2360.845</v>
      </c>
      <c r="G322" s="4">
        <v>2012</v>
      </c>
      <c r="H322" s="4">
        <v>514</v>
      </c>
      <c r="I322" s="4">
        <v>209</v>
      </c>
      <c r="J322" s="4">
        <v>1158</v>
      </c>
      <c r="K322" s="4">
        <f t="shared" si="47"/>
        <v>22805.174</v>
      </c>
      <c r="L322" s="2"/>
    </row>
    <row r="323" spans="1:12" ht="12.75">
      <c r="A323" s="3">
        <v>253</v>
      </c>
      <c r="B323" s="1" t="s">
        <v>330</v>
      </c>
      <c r="C323" s="4">
        <v>2305</v>
      </c>
      <c r="D323" s="4">
        <f>1475857/1000</f>
        <v>1475.857</v>
      </c>
      <c r="E323" s="4">
        <f>2887039/1000</f>
        <v>2887.039</v>
      </c>
      <c r="F323" s="4">
        <f>965258/1000</f>
        <v>965.258</v>
      </c>
      <c r="G323" s="4">
        <v>642</v>
      </c>
      <c r="H323" s="4">
        <v>59</v>
      </c>
      <c r="I323" s="4">
        <v>234</v>
      </c>
      <c r="J323" s="4">
        <v>556</v>
      </c>
      <c r="K323" s="4">
        <f t="shared" si="47"/>
        <v>9124.154</v>
      </c>
      <c r="L323" s="2"/>
    </row>
    <row r="324" spans="1:12" ht="12.75">
      <c r="A324" s="3">
        <v>269</v>
      </c>
      <c r="B324" s="1" t="s">
        <v>331</v>
      </c>
      <c r="C324" s="4">
        <f>5446601/1000</f>
        <v>5446.601</v>
      </c>
      <c r="D324" s="4">
        <f>3196548/1000</f>
        <v>3196.548</v>
      </c>
      <c r="E324" s="4">
        <f>5909809/1000</f>
        <v>5909.809</v>
      </c>
      <c r="F324" s="4">
        <f>980757/1000</f>
        <v>980.757</v>
      </c>
      <c r="G324" s="4">
        <v>2265</v>
      </c>
      <c r="H324" s="4">
        <v>189</v>
      </c>
      <c r="I324" s="4">
        <v>1728</v>
      </c>
      <c r="J324" s="4">
        <v>582</v>
      </c>
      <c r="K324" s="4">
        <f t="shared" si="47"/>
        <v>20297.714999999997</v>
      </c>
      <c r="L324" s="2"/>
    </row>
    <row r="325" spans="1:12" ht="12.75">
      <c r="A325" s="3">
        <v>291</v>
      </c>
      <c r="B325" s="1" t="s">
        <v>332</v>
      </c>
      <c r="C325" s="4">
        <f>6620549/1000</f>
        <v>6620.549</v>
      </c>
      <c r="D325" s="4">
        <f>4666610/1000</f>
        <v>4666.61</v>
      </c>
      <c r="E325" s="4">
        <f>8996090/1000</f>
        <v>8996.09</v>
      </c>
      <c r="F325" s="4">
        <f>1102851/1000</f>
        <v>1102.851</v>
      </c>
      <c r="G325" s="4">
        <v>2246</v>
      </c>
      <c r="H325" s="4">
        <v>1474</v>
      </c>
      <c r="I325" s="4">
        <v>784</v>
      </c>
      <c r="J325" s="4">
        <v>1018</v>
      </c>
      <c r="K325" s="4">
        <f t="shared" si="47"/>
        <v>26908.1</v>
      </c>
      <c r="L325" s="2"/>
    </row>
    <row r="326" spans="1:12" ht="12.75">
      <c r="A326" s="3">
        <v>292</v>
      </c>
      <c r="B326" s="1" t="s">
        <v>333</v>
      </c>
      <c r="C326" s="4">
        <f>4339281/1000</f>
        <v>4339.281</v>
      </c>
      <c r="D326" s="4">
        <f>2858497/1000</f>
        <v>2858.497</v>
      </c>
      <c r="E326" s="4">
        <f>5277429/1000</f>
        <v>5277.429</v>
      </c>
      <c r="F326" s="4">
        <f>804572/1000</f>
        <v>804.572</v>
      </c>
      <c r="G326" s="4">
        <v>2123</v>
      </c>
      <c r="H326" s="4">
        <v>245</v>
      </c>
      <c r="I326" s="4">
        <v>406</v>
      </c>
      <c r="J326" s="4">
        <v>1851</v>
      </c>
      <c r="K326" s="4">
        <f t="shared" si="47"/>
        <v>17904.779000000002</v>
      </c>
      <c r="L326" s="2"/>
    </row>
    <row r="327" spans="1:12" ht="12.75">
      <c r="A327" s="6"/>
      <c r="B327" s="2"/>
      <c r="C327" s="4"/>
      <c r="D327" s="4"/>
      <c r="E327" s="4"/>
      <c r="F327" s="4"/>
      <c r="G327" s="4"/>
      <c r="H327" s="4"/>
      <c r="I327" s="4"/>
      <c r="J327" s="4"/>
      <c r="K327" s="4"/>
      <c r="L327" s="2"/>
    </row>
    <row r="328" spans="1:12" ht="12.75">
      <c r="A328" s="6"/>
      <c r="B328" s="3" t="s">
        <v>334</v>
      </c>
      <c r="C328" s="4">
        <f>SUM(C330:C339)</f>
        <v>47982</v>
      </c>
      <c r="D328" s="4">
        <f>SUM(D330:D339)</f>
        <v>50613.543000000005</v>
      </c>
      <c r="E328" s="4">
        <f>SUM(E330:E339)</f>
        <v>94561.26500000001</v>
      </c>
      <c r="F328" s="4">
        <f aca="true" t="shared" si="48" ref="F328:K328">SUM(F330:F339)</f>
        <v>6732</v>
      </c>
      <c r="G328" s="4">
        <f t="shared" si="48"/>
        <v>18255.575</v>
      </c>
      <c r="H328" s="4">
        <f t="shared" si="48"/>
        <v>4154.446</v>
      </c>
      <c r="I328" s="4">
        <f t="shared" si="48"/>
        <v>45059.085</v>
      </c>
      <c r="J328" s="4">
        <f t="shared" si="48"/>
        <v>14107.828</v>
      </c>
      <c r="K328" s="4">
        <f t="shared" si="48"/>
        <v>281465.742</v>
      </c>
      <c r="L328" s="2"/>
    </row>
    <row r="329" spans="1:12" ht="12.75">
      <c r="A329" s="6"/>
      <c r="B329" s="2"/>
      <c r="C329" s="4"/>
      <c r="D329" s="4"/>
      <c r="E329" s="4"/>
      <c r="F329" s="4"/>
      <c r="G329" s="4"/>
      <c r="H329" s="4"/>
      <c r="I329" s="4"/>
      <c r="J329" s="4"/>
      <c r="K329" s="4"/>
      <c r="L329" s="2"/>
    </row>
    <row r="330" spans="1:12" ht="12.75">
      <c r="A330" s="3" t="s">
        <v>335</v>
      </c>
      <c r="B330" s="1" t="s">
        <v>336</v>
      </c>
      <c r="C330" s="4">
        <v>5889</v>
      </c>
      <c r="D330" s="4">
        <v>4876</v>
      </c>
      <c r="E330" s="4">
        <v>8699</v>
      </c>
      <c r="F330" s="4">
        <v>1027</v>
      </c>
      <c r="G330" s="4">
        <v>1914</v>
      </c>
      <c r="H330" s="4">
        <v>580</v>
      </c>
      <c r="I330" s="4">
        <v>236</v>
      </c>
      <c r="J330" s="4">
        <v>923</v>
      </c>
      <c r="K330" s="4">
        <f>SUM(C330:J330)</f>
        <v>24144</v>
      </c>
      <c r="L330" s="2"/>
    </row>
    <row r="331" spans="1:12" ht="12.75">
      <c r="A331" s="3" t="s">
        <v>337</v>
      </c>
      <c r="B331" s="1" t="s">
        <v>338</v>
      </c>
      <c r="C331" s="4">
        <v>6405</v>
      </c>
      <c r="D331" s="4">
        <v>6244</v>
      </c>
      <c r="E331" s="4">
        <v>12934</v>
      </c>
      <c r="F331" s="4">
        <v>1338</v>
      </c>
      <c r="G331" s="4">
        <v>2518</v>
      </c>
      <c r="H331" s="4">
        <v>360</v>
      </c>
      <c r="I331" s="4">
        <v>7276</v>
      </c>
      <c r="J331" s="4">
        <v>744</v>
      </c>
      <c r="K331" s="4">
        <f>SUM(C331:J331)</f>
        <v>37819</v>
      </c>
      <c r="L331" s="2"/>
    </row>
    <row r="332" spans="1:12" ht="12.75">
      <c r="A332" s="3" t="s">
        <v>339</v>
      </c>
      <c r="B332" s="1" t="s">
        <v>340</v>
      </c>
      <c r="C332" s="4">
        <v>7398</v>
      </c>
      <c r="D332" s="4">
        <v>9432</v>
      </c>
      <c r="E332" s="4">
        <v>18628</v>
      </c>
      <c r="F332" s="4">
        <v>1026</v>
      </c>
      <c r="G332" s="4">
        <v>4278</v>
      </c>
      <c r="H332" s="4">
        <v>474</v>
      </c>
      <c r="I332" s="4">
        <v>17568</v>
      </c>
      <c r="J332" s="4">
        <v>3474</v>
      </c>
      <c r="K332" s="4">
        <f aca="true" t="shared" si="49" ref="K332:K339">SUM(C332:J332)</f>
        <v>62278</v>
      </c>
      <c r="L332" s="2"/>
    </row>
    <row r="333" spans="1:12" ht="12.75">
      <c r="A333" s="3" t="s">
        <v>341</v>
      </c>
      <c r="B333" s="1" t="s">
        <v>342</v>
      </c>
      <c r="C333" s="4">
        <v>4887</v>
      </c>
      <c r="D333" s="4">
        <f>2731341/1000</f>
        <v>2731.341</v>
      </c>
      <c r="E333" s="4">
        <f>8620414/1000</f>
        <v>8620.414</v>
      </c>
      <c r="F333" s="4">
        <v>469</v>
      </c>
      <c r="G333" s="4">
        <v>1462</v>
      </c>
      <c r="H333" s="4">
        <f>79856/1000</f>
        <v>79.856</v>
      </c>
      <c r="I333" s="4">
        <v>1454</v>
      </c>
      <c r="J333" s="4">
        <v>379</v>
      </c>
      <c r="K333" s="4">
        <f t="shared" si="49"/>
        <v>20082.611</v>
      </c>
      <c r="L333" s="2"/>
    </row>
    <row r="334" spans="1:12" ht="12.75">
      <c r="A334" s="3">
        <v>101</v>
      </c>
      <c r="B334" s="1" t="s">
        <v>343</v>
      </c>
      <c r="C334" s="4">
        <v>7171</v>
      </c>
      <c r="D334" s="4">
        <f>6737542/1000</f>
        <v>6737.542</v>
      </c>
      <c r="E334" s="4">
        <f>12496248/1000</f>
        <v>12496.248</v>
      </c>
      <c r="F334" s="4">
        <v>624</v>
      </c>
      <c r="G334" s="4">
        <v>2418</v>
      </c>
      <c r="H334" s="4">
        <v>1847</v>
      </c>
      <c r="I334" s="4">
        <v>8364</v>
      </c>
      <c r="J334" s="4">
        <v>3003</v>
      </c>
      <c r="K334" s="4">
        <f t="shared" si="49"/>
        <v>42660.79</v>
      </c>
      <c r="L334" s="2"/>
    </row>
    <row r="335" spans="1:12" ht="12.75">
      <c r="A335" s="3">
        <v>118</v>
      </c>
      <c r="B335" s="1" t="s">
        <v>344</v>
      </c>
      <c r="C335" s="4">
        <v>3945</v>
      </c>
      <c r="D335" s="4">
        <f>4594958/1000</f>
        <v>4594.958</v>
      </c>
      <c r="E335" s="4">
        <f>7704042/1000</f>
        <v>7704.042</v>
      </c>
      <c r="F335" s="4">
        <v>416</v>
      </c>
      <c r="G335" s="4">
        <v>1608</v>
      </c>
      <c r="H335" s="4">
        <v>83</v>
      </c>
      <c r="I335" s="4">
        <v>5492</v>
      </c>
      <c r="J335" s="4">
        <f>1549516/1000</f>
        <v>1549.516</v>
      </c>
      <c r="K335" s="4">
        <f t="shared" si="49"/>
        <v>25392.516</v>
      </c>
      <c r="L335" s="2"/>
    </row>
    <row r="336" spans="1:12" ht="12.75">
      <c r="A336" s="3">
        <v>198</v>
      </c>
      <c r="B336" s="1" t="s">
        <v>345</v>
      </c>
      <c r="C336" s="4">
        <v>3923</v>
      </c>
      <c r="D336" s="4">
        <f>8889051/1000</f>
        <v>8889.051</v>
      </c>
      <c r="E336" s="4">
        <f>11802952/1000</f>
        <v>11802.952</v>
      </c>
      <c r="F336" s="4">
        <v>600</v>
      </c>
      <c r="G336" s="4">
        <v>1570</v>
      </c>
      <c r="H336" s="4">
        <v>72</v>
      </c>
      <c r="I336" s="4">
        <v>241</v>
      </c>
      <c r="J336" s="4">
        <f>2967934/1000</f>
        <v>2967.934</v>
      </c>
      <c r="K336" s="4">
        <f t="shared" si="49"/>
        <v>30065.936999999998</v>
      </c>
      <c r="L336" s="2"/>
    </row>
    <row r="337" spans="1:12" ht="12.75">
      <c r="A337" s="3">
        <v>245</v>
      </c>
      <c r="B337" s="1" t="s">
        <v>338</v>
      </c>
      <c r="C337" s="4">
        <v>2639</v>
      </c>
      <c r="D337" s="4">
        <f>1994143/1000</f>
        <v>1994.143</v>
      </c>
      <c r="E337" s="4">
        <f>5030680/1000</f>
        <v>5030.68</v>
      </c>
      <c r="F337" s="4">
        <v>352</v>
      </c>
      <c r="G337" s="4">
        <v>1083</v>
      </c>
      <c r="H337" s="4">
        <v>65</v>
      </c>
      <c r="I337" s="4">
        <v>21</v>
      </c>
      <c r="J337" s="4">
        <f>523981/1000</f>
        <v>523.981</v>
      </c>
      <c r="K337" s="4">
        <f t="shared" si="49"/>
        <v>11708.804</v>
      </c>
      <c r="L337" s="2"/>
    </row>
    <row r="338" spans="1:12" ht="12.75">
      <c r="A338" s="3">
        <v>275</v>
      </c>
      <c r="B338" s="1" t="s">
        <v>346</v>
      </c>
      <c r="C338" s="4">
        <v>3964</v>
      </c>
      <c r="D338" s="4">
        <f>4209508/1000</f>
        <v>4209.508</v>
      </c>
      <c r="E338" s="4">
        <f>5948929/1000</f>
        <v>5948.929</v>
      </c>
      <c r="F338" s="4">
        <v>434</v>
      </c>
      <c r="G338" s="4">
        <f>1010575/1000</f>
        <v>1010.575</v>
      </c>
      <c r="H338" s="4">
        <v>565</v>
      </c>
      <c r="I338" s="4">
        <v>4365</v>
      </c>
      <c r="J338" s="4">
        <f>433434/1000</f>
        <v>433.434</v>
      </c>
      <c r="K338" s="4">
        <f t="shared" si="49"/>
        <v>20930.446000000004</v>
      </c>
      <c r="L338" s="2"/>
    </row>
    <row r="339" spans="1:12" ht="12.75">
      <c r="A339" s="3">
        <v>277</v>
      </c>
      <c r="B339" s="1" t="s">
        <v>235</v>
      </c>
      <c r="C339" s="4">
        <v>1761</v>
      </c>
      <c r="D339" s="4">
        <v>905</v>
      </c>
      <c r="E339" s="4">
        <v>2697</v>
      </c>
      <c r="F339" s="4">
        <v>446</v>
      </c>
      <c r="G339" s="4">
        <v>394</v>
      </c>
      <c r="H339" s="4">
        <v>28.59</v>
      </c>
      <c r="I339" s="4">
        <f>42085/1000</f>
        <v>42.085</v>
      </c>
      <c r="J339" s="4">
        <f>109963/1000</f>
        <v>109.963</v>
      </c>
      <c r="K339" s="4">
        <f t="shared" si="49"/>
        <v>6383.638</v>
      </c>
      <c r="L339" s="2"/>
    </row>
    <row r="340" spans="1:12" ht="12.75">
      <c r="A340" s="6"/>
      <c r="B340" s="2"/>
      <c r="C340" s="4"/>
      <c r="D340" s="4"/>
      <c r="E340" s="4"/>
      <c r="F340" s="4"/>
      <c r="G340" s="4"/>
      <c r="H340" s="4"/>
      <c r="I340" s="4"/>
      <c r="J340" s="4"/>
      <c r="K340" s="4"/>
      <c r="L340" s="2"/>
    </row>
    <row r="341" spans="1:12" ht="12.75">
      <c r="A341" s="6"/>
      <c r="B341" s="3" t="s">
        <v>347</v>
      </c>
      <c r="C341" s="4">
        <f>SUM(C343:C345)</f>
        <v>15060</v>
      </c>
      <c r="D341" s="4">
        <f>SUM(D343:D345)</f>
        <v>13038</v>
      </c>
      <c r="E341" s="4">
        <f>SUM(E343:E345)</f>
        <v>31450</v>
      </c>
      <c r="F341" s="4">
        <f aca="true" t="shared" si="50" ref="F341:K341">SUM(F343:F345)</f>
        <v>3044</v>
      </c>
      <c r="G341" s="4">
        <f t="shared" si="50"/>
        <v>9041</v>
      </c>
      <c r="H341" s="4">
        <f t="shared" si="50"/>
        <v>2030</v>
      </c>
      <c r="I341" s="4">
        <f t="shared" si="50"/>
        <v>7936</v>
      </c>
      <c r="J341" s="4">
        <f t="shared" si="50"/>
        <v>979</v>
      </c>
      <c r="K341" s="4">
        <f t="shared" si="50"/>
        <v>82578</v>
      </c>
      <c r="L341" s="2"/>
    </row>
    <row r="342" spans="1:12" ht="12.75">
      <c r="A342" s="6"/>
      <c r="B342" s="2"/>
      <c r="C342" s="4"/>
      <c r="D342" s="4"/>
      <c r="E342" s="4"/>
      <c r="F342" s="4"/>
      <c r="G342" s="4"/>
      <c r="H342" s="4"/>
      <c r="I342" s="4"/>
      <c r="J342" s="4"/>
      <c r="K342" s="4"/>
      <c r="L342" s="2"/>
    </row>
    <row r="343" spans="1:12" ht="12.75">
      <c r="A343" s="3">
        <v>115</v>
      </c>
      <c r="B343" s="1" t="s">
        <v>348</v>
      </c>
      <c r="C343" s="4">
        <v>10019</v>
      </c>
      <c r="D343" s="4">
        <v>8209</v>
      </c>
      <c r="E343" s="4">
        <v>21472</v>
      </c>
      <c r="F343" s="4">
        <v>1871</v>
      </c>
      <c r="G343" s="4">
        <v>6224</v>
      </c>
      <c r="H343" s="4">
        <v>1222</v>
      </c>
      <c r="I343" s="4">
        <v>4505</v>
      </c>
      <c r="J343" s="4">
        <v>385</v>
      </c>
      <c r="K343" s="4">
        <f>SUM(C343:J343)</f>
        <v>53907</v>
      </c>
      <c r="L343" s="2"/>
    </row>
    <row r="344" spans="1:12" ht="12.75">
      <c r="A344" s="3">
        <v>151</v>
      </c>
      <c r="B344" s="1" t="s">
        <v>349</v>
      </c>
      <c r="C344" s="4">
        <v>1652</v>
      </c>
      <c r="D344" s="4">
        <v>2200</v>
      </c>
      <c r="E344" s="4">
        <v>4201</v>
      </c>
      <c r="F344" s="4">
        <v>737</v>
      </c>
      <c r="G344" s="4">
        <v>1185</v>
      </c>
      <c r="H344" s="4">
        <v>355</v>
      </c>
      <c r="I344" s="4">
        <v>960</v>
      </c>
      <c r="J344" s="4">
        <v>350</v>
      </c>
      <c r="K344" s="4">
        <f>SUM(C344:J344)</f>
        <v>11640</v>
      </c>
      <c r="L344" s="2"/>
    </row>
    <row r="345" spans="1:12" ht="12.75">
      <c r="A345" s="3">
        <v>246</v>
      </c>
      <c r="B345" s="1" t="s">
        <v>350</v>
      </c>
      <c r="C345" s="4">
        <v>3389</v>
      </c>
      <c r="D345" s="4">
        <v>2629</v>
      </c>
      <c r="E345" s="4">
        <v>5777</v>
      </c>
      <c r="F345" s="4">
        <v>436</v>
      </c>
      <c r="G345" s="4">
        <v>1632</v>
      </c>
      <c r="H345" s="4">
        <v>453</v>
      </c>
      <c r="I345" s="4">
        <v>2471</v>
      </c>
      <c r="J345" s="4">
        <v>244</v>
      </c>
      <c r="K345" s="4">
        <f>SUM(C345:J345)</f>
        <v>17031</v>
      </c>
      <c r="L345" s="2"/>
    </row>
    <row r="346" spans="1:12" ht="12.75">
      <c r="A346" s="6"/>
      <c r="B346" s="2"/>
      <c r="C346" s="4"/>
      <c r="D346" s="4"/>
      <c r="E346" s="4"/>
      <c r="F346" s="4"/>
      <c r="G346" s="4"/>
      <c r="H346" s="4"/>
      <c r="I346" s="4"/>
      <c r="J346" s="4"/>
      <c r="K346" s="4"/>
      <c r="L346" s="2"/>
    </row>
    <row r="347" spans="1:12" ht="12.75">
      <c r="A347" s="6"/>
      <c r="B347" s="3" t="s">
        <v>351</v>
      </c>
      <c r="C347" s="4">
        <f>SUM(C349:C361)</f>
        <v>78457.27399999999</v>
      </c>
      <c r="D347" s="4">
        <f>SUM(D349:D361)</f>
        <v>78357.30399999999</v>
      </c>
      <c r="E347" s="4">
        <f>SUM(E349:E361)</f>
        <v>143515.482</v>
      </c>
      <c r="F347" s="4">
        <f aca="true" t="shared" si="51" ref="F347:K347">SUM(F349:F361)</f>
        <v>18372</v>
      </c>
      <c r="G347" s="4">
        <f t="shared" si="51"/>
        <v>45361</v>
      </c>
      <c r="H347" s="4">
        <f t="shared" si="51"/>
        <v>11071</v>
      </c>
      <c r="I347" s="4">
        <f t="shared" si="51"/>
        <v>72898.664</v>
      </c>
      <c r="J347" s="4">
        <f t="shared" si="51"/>
        <v>9803.649999999998</v>
      </c>
      <c r="K347" s="4">
        <f t="shared" si="51"/>
        <v>457836.37400000007</v>
      </c>
      <c r="L347" s="2"/>
    </row>
    <row r="348" spans="1:12" ht="12.75">
      <c r="A348" s="6"/>
      <c r="B348" s="2"/>
      <c r="C348" s="4"/>
      <c r="D348" s="4"/>
      <c r="E348" s="4"/>
      <c r="F348" s="4"/>
      <c r="G348" s="4"/>
      <c r="H348" s="4"/>
      <c r="I348" s="4"/>
      <c r="J348" s="4"/>
      <c r="K348" s="4"/>
      <c r="L348" s="2"/>
    </row>
    <row r="349" spans="1:12" ht="12.75">
      <c r="A349" s="3" t="s">
        <v>352</v>
      </c>
      <c r="B349" s="1" t="s">
        <v>353</v>
      </c>
      <c r="C349" s="4">
        <f>5737526/1000</f>
        <v>5737.526</v>
      </c>
      <c r="D349" s="4">
        <f>6092338/1000</f>
        <v>6092.338</v>
      </c>
      <c r="E349" s="4">
        <v>13679</v>
      </c>
      <c r="F349" s="4">
        <v>1509</v>
      </c>
      <c r="G349" s="4">
        <v>4193</v>
      </c>
      <c r="H349" s="4">
        <v>1202</v>
      </c>
      <c r="I349" s="4">
        <f>5267428/1000</f>
        <v>5267.428</v>
      </c>
      <c r="J349" s="4">
        <f>706790/1000</f>
        <v>706.79</v>
      </c>
      <c r="K349" s="4">
        <f aca="true" t="shared" si="52" ref="K349:K360">SUM(C349:J349)</f>
        <v>38387.082</v>
      </c>
      <c r="L349" s="2"/>
    </row>
    <row r="350" spans="1:12" ht="12.75">
      <c r="A350" s="3" t="s">
        <v>354</v>
      </c>
      <c r="B350" s="1" t="s">
        <v>355</v>
      </c>
      <c r="C350" s="4">
        <f>10228311/1000</f>
        <v>10228.311</v>
      </c>
      <c r="D350" s="4">
        <f>9844267/1000</f>
        <v>9844.267</v>
      </c>
      <c r="E350" s="4">
        <f>20852528/1000</f>
        <v>20852.528</v>
      </c>
      <c r="F350" s="4">
        <v>1838</v>
      </c>
      <c r="G350" s="4">
        <v>6155</v>
      </c>
      <c r="H350" s="4">
        <v>747</v>
      </c>
      <c r="I350" s="4">
        <f>5908697/1000</f>
        <v>5908.697</v>
      </c>
      <c r="J350" s="4">
        <f>609495/1000</f>
        <v>609.495</v>
      </c>
      <c r="K350" s="4">
        <f t="shared" si="52"/>
        <v>56183.298</v>
      </c>
      <c r="L350" s="2"/>
    </row>
    <row r="351" spans="1:12" ht="12.75">
      <c r="A351" s="3" t="s">
        <v>356</v>
      </c>
      <c r="B351" s="1" t="s">
        <v>357</v>
      </c>
      <c r="C351" s="4">
        <f>13387636/1000</f>
        <v>13387.636</v>
      </c>
      <c r="D351" s="4">
        <f>8938609/1000</f>
        <v>8938.609</v>
      </c>
      <c r="E351" s="4">
        <f>15126412/1000</f>
        <v>15126.412</v>
      </c>
      <c r="F351" s="4">
        <v>2121</v>
      </c>
      <c r="G351" s="4">
        <v>5117</v>
      </c>
      <c r="H351" s="4">
        <v>659</v>
      </c>
      <c r="I351" s="4">
        <f>7803530/1000</f>
        <v>7803.53</v>
      </c>
      <c r="J351" s="4">
        <f>1118056/1000</f>
        <v>1118.056</v>
      </c>
      <c r="K351" s="4">
        <f t="shared" si="52"/>
        <v>54271.243</v>
      </c>
      <c r="L351" s="2"/>
    </row>
    <row r="352" spans="1:12" ht="12.75">
      <c r="A352" s="3" t="s">
        <v>358</v>
      </c>
      <c r="B352" s="1" t="s">
        <v>359</v>
      </c>
      <c r="C352" s="4">
        <f>8797624/1000</f>
        <v>8797.624</v>
      </c>
      <c r="D352" s="4">
        <f>10546569/1000</f>
        <v>10546.569</v>
      </c>
      <c r="E352" s="4">
        <f>21329941/1000</f>
        <v>21329.941</v>
      </c>
      <c r="F352" s="4">
        <v>2678</v>
      </c>
      <c r="G352" s="4">
        <v>6462</v>
      </c>
      <c r="H352" s="4">
        <v>1794</v>
      </c>
      <c r="I352" s="4">
        <f>15622151/1000</f>
        <v>15622.151</v>
      </c>
      <c r="J352" s="4">
        <f>1631418/1000</f>
        <v>1631.418</v>
      </c>
      <c r="K352" s="4">
        <f t="shared" si="52"/>
        <v>68861.70300000001</v>
      </c>
      <c r="L352" s="2"/>
    </row>
    <row r="353" spans="1:12" ht="12.75">
      <c r="A353" s="3">
        <v>105</v>
      </c>
      <c r="B353" s="1" t="s">
        <v>360</v>
      </c>
      <c r="C353" s="4">
        <f>7585020/1000</f>
        <v>7585.02</v>
      </c>
      <c r="D353" s="4">
        <f>6138615/1000</f>
        <v>6138.615</v>
      </c>
      <c r="E353" s="4">
        <f>13158770/1000</f>
        <v>13158.77</v>
      </c>
      <c r="F353" s="4">
        <v>1220</v>
      </c>
      <c r="G353" s="4">
        <v>4056</v>
      </c>
      <c r="H353" s="4">
        <v>694</v>
      </c>
      <c r="I353" s="4">
        <f>5765517/1000</f>
        <v>5765.517</v>
      </c>
      <c r="J353" s="4">
        <f>580462/1000</f>
        <v>580.462</v>
      </c>
      <c r="K353" s="4">
        <f t="shared" si="52"/>
        <v>39198.384</v>
      </c>
      <c r="L353" s="2"/>
    </row>
    <row r="354" spans="1:12" ht="12.75">
      <c r="A354" s="3">
        <v>109</v>
      </c>
      <c r="B354" s="1" t="s">
        <v>361</v>
      </c>
      <c r="C354" s="4">
        <f>2900829/1000</f>
        <v>2900.829</v>
      </c>
      <c r="D354" s="4">
        <f>3771172/1000</f>
        <v>3771.172</v>
      </c>
      <c r="E354" s="4">
        <f>7376606/1000</f>
        <v>7376.606</v>
      </c>
      <c r="F354" s="4">
        <v>1457</v>
      </c>
      <c r="G354" s="4">
        <v>2077</v>
      </c>
      <c r="H354" s="4">
        <v>500</v>
      </c>
      <c r="I354" s="4">
        <f>4137414/1000</f>
        <v>4137.414</v>
      </c>
      <c r="J354" s="4">
        <f>475946/1000</f>
        <v>475.946</v>
      </c>
      <c r="K354" s="4">
        <f t="shared" si="52"/>
        <v>22695.967</v>
      </c>
      <c r="L354" s="2"/>
    </row>
    <row r="355" spans="1:12" ht="12.75">
      <c r="A355" s="3">
        <v>113</v>
      </c>
      <c r="B355" s="1" t="s">
        <v>362</v>
      </c>
      <c r="C355" s="4">
        <f>3584148/1000</f>
        <v>3584.148</v>
      </c>
      <c r="D355" s="4">
        <f>4447342/1000</f>
        <v>4447.342</v>
      </c>
      <c r="E355" s="4">
        <f>7755355/1000</f>
        <v>7755.355</v>
      </c>
      <c r="F355" s="4">
        <v>992</v>
      </c>
      <c r="G355" s="4">
        <v>2156</v>
      </c>
      <c r="H355" s="4">
        <v>456</v>
      </c>
      <c r="I355" s="4">
        <f>4307941/1000</f>
        <v>4307.941</v>
      </c>
      <c r="J355" s="4">
        <f>428462/1000</f>
        <v>428.462</v>
      </c>
      <c r="K355" s="4">
        <f t="shared" si="52"/>
        <v>24127.248</v>
      </c>
      <c r="L355" s="2"/>
    </row>
    <row r="356" spans="1:12" ht="12.75">
      <c r="A356" s="3">
        <v>171</v>
      </c>
      <c r="B356" s="1" t="s">
        <v>363</v>
      </c>
      <c r="C356" s="4">
        <f>6405640/1000</f>
        <v>6405.64</v>
      </c>
      <c r="D356" s="4">
        <f>8988307/1000</f>
        <v>8988.307</v>
      </c>
      <c r="E356" s="4">
        <f>11253861/1000</f>
        <v>11253.861</v>
      </c>
      <c r="F356" s="4">
        <v>1213</v>
      </c>
      <c r="G356" s="4">
        <v>5402</v>
      </c>
      <c r="H356" s="4">
        <v>2163</v>
      </c>
      <c r="I356" s="4">
        <f>12977260/1000</f>
        <v>12977.26</v>
      </c>
      <c r="J356" s="4">
        <f>1087426/1000</f>
        <v>1087.426</v>
      </c>
      <c r="K356" s="4">
        <f t="shared" si="52"/>
        <v>49490.494000000006</v>
      </c>
      <c r="L356" s="2"/>
    </row>
    <row r="357" spans="1:12" ht="12.75">
      <c r="A357" s="3">
        <v>247</v>
      </c>
      <c r="B357" s="1" t="s">
        <v>363</v>
      </c>
      <c r="C357" s="4">
        <f>5613030/1000</f>
        <v>5613.03</v>
      </c>
      <c r="D357" s="4">
        <f>5606957/1000</f>
        <v>5606.957</v>
      </c>
      <c r="E357" s="4">
        <f>7701253/1000</f>
        <v>7701.253</v>
      </c>
      <c r="F357" s="4">
        <v>1209</v>
      </c>
      <c r="G357" s="4">
        <v>2768</v>
      </c>
      <c r="H357" s="4">
        <v>570</v>
      </c>
      <c r="I357" s="4">
        <f>2501175/1000</f>
        <v>2501.175</v>
      </c>
      <c r="J357" s="4">
        <f>1244726/1000</f>
        <v>1244.726</v>
      </c>
      <c r="K357" s="4">
        <f t="shared" si="52"/>
        <v>27214.141</v>
      </c>
      <c r="L357" s="2"/>
    </row>
    <row r="358" spans="1:12" ht="12.75">
      <c r="A358" s="3">
        <v>255</v>
      </c>
      <c r="B358" s="1" t="s">
        <v>353</v>
      </c>
      <c r="C358" s="4">
        <f>9908143/1000</f>
        <v>9908.143</v>
      </c>
      <c r="D358" s="4">
        <f>4575269/1000</f>
        <v>4575.269</v>
      </c>
      <c r="E358" s="4">
        <f>10216548/1000</f>
        <v>10216.548</v>
      </c>
      <c r="F358" s="4">
        <v>1820</v>
      </c>
      <c r="G358" s="4">
        <v>3238</v>
      </c>
      <c r="H358" s="4">
        <v>825</v>
      </c>
      <c r="I358" s="4">
        <f>1756474/1000</f>
        <v>1756.474</v>
      </c>
      <c r="J358" s="4">
        <f>440344/1000</f>
        <v>440.344</v>
      </c>
      <c r="K358" s="4">
        <f t="shared" si="52"/>
        <v>32779.778</v>
      </c>
      <c r="L358" s="2"/>
    </row>
    <row r="359" spans="1:12" ht="12.75">
      <c r="A359" s="3">
        <v>256</v>
      </c>
      <c r="B359" s="1" t="s">
        <v>363</v>
      </c>
      <c r="C359" s="4">
        <f>1518622/1000</f>
        <v>1518.622</v>
      </c>
      <c r="D359" s="4">
        <f>5680859/1000</f>
        <v>5680.859</v>
      </c>
      <c r="E359" s="4">
        <f>7384292/1000</f>
        <v>7384.292</v>
      </c>
      <c r="F359" s="4">
        <v>1169</v>
      </c>
      <c r="G359" s="4">
        <v>1432</v>
      </c>
      <c r="H359" s="4">
        <v>834</v>
      </c>
      <c r="I359" s="4">
        <f>3400083/1000</f>
        <v>3400.083</v>
      </c>
      <c r="J359" s="4">
        <f>1061041/1000</f>
        <v>1061.041</v>
      </c>
      <c r="K359" s="4">
        <f t="shared" si="52"/>
        <v>22479.897</v>
      </c>
      <c r="L359" s="2"/>
    </row>
    <row r="360" spans="1:12" ht="12.75">
      <c r="A360" s="3">
        <v>257</v>
      </c>
      <c r="B360" s="1" t="s">
        <v>364</v>
      </c>
      <c r="C360" s="4">
        <f>2790745/1000</f>
        <v>2790.745</v>
      </c>
      <c r="D360" s="4">
        <v>3727</v>
      </c>
      <c r="E360" s="4">
        <f>7680916/1000</f>
        <v>7680.916</v>
      </c>
      <c r="F360" s="4">
        <v>1146</v>
      </c>
      <c r="G360" s="4">
        <v>2305</v>
      </c>
      <c r="H360" s="4">
        <v>627</v>
      </c>
      <c r="I360" s="4">
        <f>3450994/1000</f>
        <v>3450.994</v>
      </c>
      <c r="J360" s="4">
        <f>419484/1000</f>
        <v>419.484</v>
      </c>
      <c r="K360" s="4">
        <f t="shared" si="52"/>
        <v>22147.139</v>
      </c>
      <c r="L360" s="2"/>
    </row>
    <row r="361" spans="1:12" ht="12.75">
      <c r="A361" s="3" t="s">
        <v>365</v>
      </c>
      <c r="B361" s="1" t="s">
        <v>366</v>
      </c>
      <c r="C361" s="4"/>
      <c r="D361" s="4"/>
      <c r="E361" s="4"/>
      <c r="F361" s="4"/>
      <c r="G361" s="4"/>
      <c r="H361" s="4"/>
      <c r="I361" s="4"/>
      <c r="J361" s="4"/>
      <c r="K361" s="4"/>
      <c r="L361" s="2"/>
    </row>
    <row r="362" spans="1:12" ht="12.75">
      <c r="A362" s="6"/>
      <c r="B362" s="2"/>
      <c r="C362" s="4"/>
      <c r="D362" s="4"/>
      <c r="E362" s="4"/>
      <c r="F362" s="4"/>
      <c r="G362" s="4"/>
      <c r="H362" s="4"/>
      <c r="I362" s="4"/>
      <c r="J362" s="4"/>
      <c r="K362" s="4"/>
      <c r="L362" s="2"/>
    </row>
    <row r="363" spans="1:12" ht="12.75">
      <c r="A363" s="6"/>
      <c r="B363" s="3" t="s">
        <v>367</v>
      </c>
      <c r="C363" s="4">
        <f>SUM(C365:C370)</f>
        <v>26645.790999999997</v>
      </c>
      <c r="D363" s="4">
        <f>SUM(D365:D370)</f>
        <v>20202.024999999998</v>
      </c>
      <c r="E363" s="4">
        <f>SUM(E365:E370)</f>
        <v>30448.877</v>
      </c>
      <c r="F363" s="4">
        <f aca="true" t="shared" si="53" ref="F363:K363">SUM(F365:F370)</f>
        <v>7939.121</v>
      </c>
      <c r="G363" s="4">
        <f t="shared" si="53"/>
        <v>15435.01</v>
      </c>
      <c r="H363" s="4">
        <f t="shared" si="53"/>
        <v>1181.572</v>
      </c>
      <c r="I363" s="4">
        <f t="shared" si="53"/>
        <v>6283.622</v>
      </c>
      <c r="J363" s="4">
        <f t="shared" si="53"/>
        <v>11151.586000000001</v>
      </c>
      <c r="K363" s="4">
        <f t="shared" si="53"/>
        <v>119287.60399999999</v>
      </c>
      <c r="L363" s="2"/>
    </row>
    <row r="364" spans="1:12" ht="12.75">
      <c r="A364" s="6"/>
      <c r="B364" s="2"/>
      <c r="C364" s="4"/>
      <c r="D364" s="4"/>
      <c r="E364" s="4"/>
      <c r="F364" s="4"/>
      <c r="G364" s="4"/>
      <c r="H364" s="4"/>
      <c r="I364" s="4"/>
      <c r="J364" s="4"/>
      <c r="K364" s="4"/>
      <c r="L364" s="2"/>
    </row>
    <row r="365" spans="1:12" ht="12.75">
      <c r="A365" s="3" t="s">
        <v>368</v>
      </c>
      <c r="B365" s="1" t="s">
        <v>369</v>
      </c>
      <c r="C365" s="4">
        <f>10263094/1000</f>
        <v>10263.094</v>
      </c>
      <c r="D365" s="4">
        <f>6757970/1000</f>
        <v>6757.97</v>
      </c>
      <c r="E365" s="4">
        <f>8739460/1000</f>
        <v>8739.46</v>
      </c>
      <c r="F365" s="4">
        <f>4317108/1000</f>
        <v>4317.108</v>
      </c>
      <c r="G365" s="4">
        <f>8176990/1000</f>
        <v>8176.99</v>
      </c>
      <c r="H365" s="4">
        <f>448875/1000</f>
        <v>448.875</v>
      </c>
      <c r="I365" s="4">
        <f>1716841/1000</f>
        <v>1716.841</v>
      </c>
      <c r="J365" s="4">
        <f>2330872/1000</f>
        <v>2330.872</v>
      </c>
      <c r="K365" s="4">
        <f aca="true" t="shared" si="54" ref="K365:K370">SUM(C365:J365)</f>
        <v>42751.21</v>
      </c>
      <c r="L365" s="2"/>
    </row>
    <row r="366" spans="1:12" ht="12.75">
      <c r="A366" s="3">
        <v>131</v>
      </c>
      <c r="B366" s="1" t="s">
        <v>370</v>
      </c>
      <c r="C366" s="4">
        <f>4249221/1000</f>
        <v>4249.221</v>
      </c>
      <c r="D366" s="4">
        <f>3867919/1000</f>
        <v>3867.919</v>
      </c>
      <c r="E366" s="4">
        <f>6774472/1000</f>
        <v>6774.472</v>
      </c>
      <c r="F366" s="4">
        <f>1395126/1000</f>
        <v>1395.126</v>
      </c>
      <c r="G366" s="4">
        <f>2293259/1000</f>
        <v>2293.259</v>
      </c>
      <c r="H366" s="4">
        <f>185503/1000</f>
        <v>185.503</v>
      </c>
      <c r="I366" s="4">
        <f>2704803/1000</f>
        <v>2704.803</v>
      </c>
      <c r="J366" s="4">
        <f>2416371/1000</f>
        <v>2416.371</v>
      </c>
      <c r="K366" s="4">
        <f t="shared" si="54"/>
        <v>23886.674</v>
      </c>
      <c r="L366" s="2"/>
    </row>
    <row r="367" spans="1:12" ht="12.75">
      <c r="A367" s="3">
        <v>172</v>
      </c>
      <c r="B367" s="1" t="s">
        <v>371</v>
      </c>
      <c r="C367" s="4">
        <f>3033851/1000</f>
        <v>3033.851</v>
      </c>
      <c r="D367" s="4">
        <f>1697162/1000</f>
        <v>1697.162</v>
      </c>
      <c r="E367" s="4">
        <f>3573230/1000</f>
        <v>3573.23</v>
      </c>
      <c r="F367" s="4">
        <f>355034/1000</f>
        <v>355.034</v>
      </c>
      <c r="G367" s="4">
        <f>1035576/1000</f>
        <v>1035.576</v>
      </c>
      <c r="H367" s="4">
        <f>78128/1000</f>
        <v>78.128</v>
      </c>
      <c r="I367" s="4">
        <f>82218/1000</f>
        <v>82.218</v>
      </c>
      <c r="J367" s="4">
        <f>1589449/1000</f>
        <v>1589.449</v>
      </c>
      <c r="K367" s="4">
        <f t="shared" si="54"/>
        <v>11444.648000000001</v>
      </c>
      <c r="L367" s="2"/>
    </row>
    <row r="368" spans="1:12" ht="12.75">
      <c r="A368" s="3">
        <v>173</v>
      </c>
      <c r="B368" s="1" t="s">
        <v>372</v>
      </c>
      <c r="C368" s="4">
        <f>1808411/1000</f>
        <v>1808.411</v>
      </c>
      <c r="D368" s="4">
        <f>1308245/1000</f>
        <v>1308.245</v>
      </c>
      <c r="E368" s="4">
        <f>2961129/1000</f>
        <v>2961.129</v>
      </c>
      <c r="F368" s="4">
        <f>465620/1000</f>
        <v>465.62</v>
      </c>
      <c r="G368" s="4">
        <f>1140109/1000</f>
        <v>1140.109</v>
      </c>
      <c r="H368" s="4">
        <f>208182/1000</f>
        <v>208.182</v>
      </c>
      <c r="I368" s="4">
        <f>997425/1000</f>
        <v>997.425</v>
      </c>
      <c r="J368" s="4">
        <f>1238983/1000</f>
        <v>1238.983</v>
      </c>
      <c r="K368" s="4">
        <f t="shared" si="54"/>
        <v>10128.104</v>
      </c>
      <c r="L368" s="2"/>
    </row>
    <row r="369" spans="1:12" ht="12.75">
      <c r="A369" s="3">
        <v>174</v>
      </c>
      <c r="B369" s="1" t="s">
        <v>369</v>
      </c>
      <c r="C369" s="4">
        <f>2563268/1000</f>
        <v>2563.268</v>
      </c>
      <c r="D369" s="4">
        <f>2491554/1000</f>
        <v>2491.554</v>
      </c>
      <c r="E369" s="4">
        <f>3880818/1000</f>
        <v>3880.818</v>
      </c>
      <c r="F369" s="4">
        <f>514429/1000</f>
        <v>514.429</v>
      </c>
      <c r="G369" s="4">
        <f>976177/1000</f>
        <v>976.177</v>
      </c>
      <c r="H369" s="4">
        <f>129606/1000</f>
        <v>129.606</v>
      </c>
      <c r="I369" s="4">
        <f>49167/1000</f>
        <v>49.167</v>
      </c>
      <c r="J369" s="4">
        <f>1507911/1000</f>
        <v>1507.911</v>
      </c>
      <c r="K369" s="4">
        <f t="shared" si="54"/>
        <v>12112.929999999998</v>
      </c>
      <c r="L369" s="2"/>
    </row>
    <row r="370" spans="1:12" ht="12.75">
      <c r="A370" s="3">
        <v>262</v>
      </c>
      <c r="B370" s="1" t="s">
        <v>373</v>
      </c>
      <c r="C370" s="4">
        <f>4727946/1000</f>
        <v>4727.946</v>
      </c>
      <c r="D370" s="4">
        <f>4079175/1000</f>
        <v>4079.175</v>
      </c>
      <c r="E370" s="4">
        <f>4519768/1000</f>
        <v>4519.768</v>
      </c>
      <c r="F370" s="4">
        <f>891804/1000</f>
        <v>891.804</v>
      </c>
      <c r="G370" s="4">
        <f>1812899/1000</f>
        <v>1812.899</v>
      </c>
      <c r="H370" s="4">
        <f>131278/1000</f>
        <v>131.278</v>
      </c>
      <c r="I370" s="4">
        <f>733168/1000</f>
        <v>733.168</v>
      </c>
      <c r="J370" s="4">
        <v>2068</v>
      </c>
      <c r="K370" s="4">
        <f t="shared" si="54"/>
        <v>18964.038</v>
      </c>
      <c r="L370" s="2"/>
    </row>
    <row r="371" spans="1:12" ht="12.75">
      <c r="A371" s="6"/>
      <c r="B371" s="2"/>
      <c r="C371" s="4"/>
      <c r="D371" s="4"/>
      <c r="E371" s="4"/>
      <c r="F371" s="4"/>
      <c r="G371" s="4"/>
      <c r="H371" s="4"/>
      <c r="I371" s="4"/>
      <c r="J371" s="4"/>
      <c r="K371" s="4"/>
      <c r="L371" s="2"/>
    </row>
    <row r="372" spans="1:12" ht="12.75">
      <c r="A372" s="6"/>
      <c r="B372" s="3" t="s">
        <v>374</v>
      </c>
      <c r="C372" s="4">
        <f>SUM(C374:C380)</f>
        <v>28869.402000000002</v>
      </c>
      <c r="D372" s="4">
        <f>SUM(D374:D380)</f>
        <v>34904.706</v>
      </c>
      <c r="E372" s="4">
        <f>SUM(E374:E380)</f>
        <v>76423.09099999999</v>
      </c>
      <c r="F372" s="4">
        <f aca="true" t="shared" si="55" ref="F372:K372">SUM(F374:F380)</f>
        <v>7061.656000000001</v>
      </c>
      <c r="G372" s="4">
        <f t="shared" si="55"/>
        <v>43533.474</v>
      </c>
      <c r="H372" s="4">
        <f t="shared" si="55"/>
        <v>1866.9609999999998</v>
      </c>
      <c r="I372" s="4">
        <f t="shared" si="55"/>
        <v>17943.738</v>
      </c>
      <c r="J372" s="4">
        <f t="shared" si="55"/>
        <v>6393.933000000001</v>
      </c>
      <c r="K372" s="4">
        <f t="shared" si="55"/>
        <v>216996.961</v>
      </c>
      <c r="L372" s="2"/>
    </row>
    <row r="373" spans="1:12" ht="12.75">
      <c r="A373" s="6"/>
      <c r="B373" s="2"/>
      <c r="C373" s="4"/>
      <c r="D373" s="4"/>
      <c r="E373" s="4"/>
      <c r="F373" s="4"/>
      <c r="G373" s="4"/>
      <c r="H373" s="4"/>
      <c r="I373" s="4"/>
      <c r="J373" s="4"/>
      <c r="K373" s="4"/>
      <c r="L373" s="2"/>
    </row>
    <row r="374" spans="1:12" ht="12.75">
      <c r="A374" s="3" t="s">
        <v>375</v>
      </c>
      <c r="B374" s="1" t="s">
        <v>376</v>
      </c>
      <c r="C374" s="4">
        <f>2350309/1000</f>
        <v>2350.309</v>
      </c>
      <c r="D374" s="4">
        <f>2330681/1000</f>
        <v>2330.681</v>
      </c>
      <c r="E374" s="4">
        <f>10561661/1000</f>
        <v>10561.661</v>
      </c>
      <c r="F374" s="4">
        <f>1097474/1000</f>
        <v>1097.474</v>
      </c>
      <c r="G374" s="4">
        <f>2422360/1000</f>
        <v>2422.36</v>
      </c>
      <c r="H374" s="4">
        <f>179619/1000</f>
        <v>179.619</v>
      </c>
      <c r="I374" s="4">
        <f>890489/1000</f>
        <v>890.489</v>
      </c>
      <c r="J374" s="4">
        <f>1078975/1000</f>
        <v>1078.975</v>
      </c>
      <c r="K374" s="4">
        <f aca="true" t="shared" si="56" ref="K374:K380">SUM(C374:J374)</f>
        <v>20911.568</v>
      </c>
      <c r="L374" s="2"/>
    </row>
    <row r="375" spans="1:12" ht="12.75">
      <c r="A375" s="3">
        <v>167</v>
      </c>
      <c r="B375" s="1" t="s">
        <v>377</v>
      </c>
      <c r="C375" s="4">
        <f>9220073/1000</f>
        <v>9220.073</v>
      </c>
      <c r="D375" s="4">
        <f>9992253/1000</f>
        <v>9992.253</v>
      </c>
      <c r="E375" s="4">
        <f>26936213/1000</f>
        <v>26936.213</v>
      </c>
      <c r="F375" s="4">
        <f>2351687/1000</f>
        <v>2351.687</v>
      </c>
      <c r="G375" s="4">
        <f>32081113/1000</f>
        <v>32081.113</v>
      </c>
      <c r="H375" s="4">
        <f>506514/1000</f>
        <v>506.514</v>
      </c>
      <c r="I375" s="4">
        <f>4359212/1000</f>
        <v>4359.212</v>
      </c>
      <c r="J375" s="4">
        <f>(2905275-131640)/1000</f>
        <v>2773.635</v>
      </c>
      <c r="K375" s="4">
        <f t="shared" si="56"/>
        <v>88220.7</v>
      </c>
      <c r="L375" s="2"/>
    </row>
    <row r="376" spans="1:12" ht="12.75">
      <c r="A376" s="3">
        <v>202</v>
      </c>
      <c r="B376" s="1" t="s">
        <v>378</v>
      </c>
      <c r="C376" s="4">
        <f>3632421/1000</f>
        <v>3632.421</v>
      </c>
      <c r="D376" s="4">
        <f>4577747/1000</f>
        <v>4577.747</v>
      </c>
      <c r="E376" s="4">
        <f>8137291/1000</f>
        <v>8137.291</v>
      </c>
      <c r="F376" s="4">
        <f>420024/1000</f>
        <v>420.024</v>
      </c>
      <c r="G376" s="4">
        <f>1423313/1000</f>
        <v>1423.313</v>
      </c>
      <c r="H376" s="4">
        <f>151320/1000</f>
        <v>151.32</v>
      </c>
      <c r="I376" s="4">
        <f>2559764/1000</f>
        <v>2559.764</v>
      </c>
      <c r="J376" s="4">
        <v>519</v>
      </c>
      <c r="K376" s="4">
        <f t="shared" si="56"/>
        <v>21420.88</v>
      </c>
      <c r="L376" s="2"/>
    </row>
    <row r="377" spans="1:12" ht="12.75">
      <c r="A377" s="3">
        <v>248</v>
      </c>
      <c r="B377" s="1" t="s">
        <v>377</v>
      </c>
      <c r="C377" s="4">
        <f>6943829/1000</f>
        <v>6943.829</v>
      </c>
      <c r="D377" s="4">
        <f>7230077/1000</f>
        <v>7230.077</v>
      </c>
      <c r="E377" s="4">
        <f>12916183/1000</f>
        <v>12916.183</v>
      </c>
      <c r="F377" s="4">
        <f>1542121/1000</f>
        <v>1542.121</v>
      </c>
      <c r="G377" s="4">
        <f>3350768/1000</f>
        <v>3350.768</v>
      </c>
      <c r="H377" s="4">
        <f>326301/1000</f>
        <v>326.301</v>
      </c>
      <c r="I377" s="4">
        <f>1086066/1000</f>
        <v>1086.066</v>
      </c>
      <c r="J377" s="4">
        <f>752353/1000</f>
        <v>752.353</v>
      </c>
      <c r="K377" s="4">
        <f t="shared" si="56"/>
        <v>34147.698000000004</v>
      </c>
      <c r="L377" s="2"/>
    </row>
    <row r="378" spans="1:12" ht="12.75">
      <c r="A378" s="3">
        <v>259</v>
      </c>
      <c r="B378" s="1" t="s">
        <v>379</v>
      </c>
      <c r="C378" s="4">
        <f>2499131/1000</f>
        <v>2499.131</v>
      </c>
      <c r="D378" s="4">
        <f>4439780/1000</f>
        <v>4439.78</v>
      </c>
      <c r="E378" s="4">
        <f>6890499/1000</f>
        <v>6890.499</v>
      </c>
      <c r="F378" s="4">
        <f>533501/1000</f>
        <v>533.501</v>
      </c>
      <c r="G378" s="4">
        <f>1350959/1000</f>
        <v>1350.959</v>
      </c>
      <c r="H378" s="4">
        <f>148859/1000</f>
        <v>148.859</v>
      </c>
      <c r="I378" s="4">
        <f>608486/1000</f>
        <v>608.486</v>
      </c>
      <c r="J378" s="4">
        <f>358840/1000</f>
        <v>358.84</v>
      </c>
      <c r="K378" s="4">
        <f t="shared" si="56"/>
        <v>16830.055</v>
      </c>
      <c r="L378" s="2"/>
    </row>
    <row r="379" spans="1:12" ht="12.75">
      <c r="A379" s="3">
        <v>278</v>
      </c>
      <c r="B379" s="1" t="s">
        <v>380</v>
      </c>
      <c r="C379" s="4">
        <f>1745524/1000</f>
        <v>1745.524</v>
      </c>
      <c r="D379" s="4">
        <f>2728529/1000</f>
        <v>2728.529</v>
      </c>
      <c r="E379" s="4">
        <f>5606219/1000</f>
        <v>5606.219</v>
      </c>
      <c r="F379" s="4">
        <f>360128/1000</f>
        <v>360.128</v>
      </c>
      <c r="G379" s="4">
        <f>1253808/1000</f>
        <v>1253.808</v>
      </c>
      <c r="H379" s="4">
        <f>203474/1000</f>
        <v>203.474</v>
      </c>
      <c r="I379" s="4">
        <f>2666928/1000</f>
        <v>2666.928</v>
      </c>
      <c r="J379" s="4">
        <f>306730/1000</f>
        <v>306.73</v>
      </c>
      <c r="K379" s="4">
        <f t="shared" si="56"/>
        <v>14871.340000000002</v>
      </c>
      <c r="L379" s="2"/>
    </row>
    <row r="380" spans="1:12" ht="12.75">
      <c r="A380" s="3">
        <v>281</v>
      </c>
      <c r="B380" s="1" t="s">
        <v>381</v>
      </c>
      <c r="C380" s="4">
        <f>2478115/1000</f>
        <v>2478.115</v>
      </c>
      <c r="D380" s="4">
        <f>3605639/1000</f>
        <v>3605.639</v>
      </c>
      <c r="E380" s="4">
        <f>5375025/1000</f>
        <v>5375.025</v>
      </c>
      <c r="F380" s="4">
        <f>756721/1000</f>
        <v>756.721</v>
      </c>
      <c r="G380" s="4">
        <f>1651153/1000</f>
        <v>1651.153</v>
      </c>
      <c r="H380" s="4">
        <f>350874/1000</f>
        <v>350.874</v>
      </c>
      <c r="I380" s="4">
        <f>5772793/1000</f>
        <v>5772.793</v>
      </c>
      <c r="J380" s="4">
        <f>604400/1000</f>
        <v>604.4</v>
      </c>
      <c r="K380" s="4">
        <f t="shared" si="56"/>
        <v>20594.72</v>
      </c>
      <c r="L380" s="2"/>
    </row>
    <row r="381" spans="1:12" ht="12.75">
      <c r="A381" s="1" t="s">
        <v>2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11" t="s">
        <v>68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</sheetData>
  <mergeCells count="3">
    <mergeCell ref="A2:L2"/>
    <mergeCell ref="A4:K4"/>
    <mergeCell ref="A5:K5"/>
  </mergeCells>
  <printOptions/>
  <pageMargins left="0.984251968503937" right="0" top="0" bottom="0" header="0" footer="0"/>
  <pageSetup horizontalDpi="300" verticalDpi="300" orientation="landscape" scale="71" r:id="rId1"/>
  <rowBreaks count="1" manualBreakCount="1"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2004-02-24T23:42:44Z</cp:lastPrinted>
  <dcterms:created xsi:type="dcterms:W3CDTF">2004-02-12T18:41:50Z</dcterms:created>
  <dcterms:modified xsi:type="dcterms:W3CDTF">2005-05-25T20:22:26Z</dcterms:modified>
  <cp:category/>
  <cp:version/>
  <cp:contentType/>
  <cp:contentStatus/>
</cp:coreProperties>
</file>